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2.ALL DATA\ANTONIA STAR DIAM\0.LAB GROWN\"/>
    </mc:Choice>
  </mc:AlternateContent>
  <xr:revisionPtr revIDLastSave="0" documentId="13_ncr:1_{1860C898-1864-4EA6-9181-74692ECF6C73}" xr6:coauthVersionLast="47" xr6:coauthVersionMax="47" xr10:uidLastSave="{00000000-0000-0000-0000-000000000000}"/>
  <bookViews>
    <workbookView xWindow="-108" yWindow="-108" windowWidth="23256" windowHeight="12456" xr2:uid="{AA4169B7-AE62-4A5E-B213-66A93E51EBCC}"/>
  </bookViews>
  <sheets>
    <sheet name="Stock" sheetId="1" r:id="rId1"/>
    <sheet name="Con-Sales" sheetId="2" r:id="rId2"/>
    <sheet name="Show Marke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K14" i="1"/>
  <c r="J14" i="1"/>
  <c r="G12" i="1"/>
  <c r="G18" i="1" l="1"/>
  <c r="F18" i="1"/>
  <c r="J16" i="2" l="1"/>
  <c r="M23" i="1" l="1"/>
  <c r="M27" i="1"/>
  <c r="M11" i="1"/>
  <c r="F12" i="1" l="1"/>
  <c r="F9" i="1"/>
  <c r="G9" i="1"/>
  <c r="G4" i="1"/>
  <c r="F15" i="1"/>
  <c r="G15" i="1"/>
  <c r="F13" i="1"/>
  <c r="F10" i="1"/>
  <c r="G10" i="1"/>
  <c r="F8" i="1"/>
  <c r="G8" i="1"/>
  <c r="G6" i="1"/>
  <c r="G5" i="1"/>
  <c r="G3" i="1"/>
  <c r="J14" i="2"/>
  <c r="J13" i="2"/>
  <c r="J12" i="2"/>
  <c r="J11" i="2"/>
  <c r="J10" i="2"/>
  <c r="J9" i="2"/>
  <c r="J8" i="2"/>
  <c r="J7" i="2"/>
  <c r="J6" i="2"/>
  <c r="J5" i="2"/>
  <c r="H42" i="3" l="1"/>
  <c r="A42" i="3"/>
  <c r="I42" i="3"/>
  <c r="L42" i="3"/>
  <c r="K41" i="3"/>
  <c r="K40" i="3"/>
  <c r="K39" i="3"/>
  <c r="K38" i="3"/>
  <c r="K36" i="3"/>
  <c r="K35" i="3"/>
  <c r="K34" i="3"/>
  <c r="K32" i="3"/>
  <c r="K31" i="3"/>
  <c r="K30" i="3"/>
  <c r="K28" i="3"/>
  <c r="K27" i="3"/>
  <c r="K26" i="3"/>
  <c r="K25" i="3"/>
  <c r="K23" i="3"/>
  <c r="K22" i="3"/>
  <c r="K21" i="3"/>
  <c r="K18" i="3"/>
  <c r="K19" i="3"/>
  <c r="K16" i="3"/>
  <c r="K15" i="3"/>
  <c r="K13" i="3"/>
  <c r="K12" i="3"/>
  <c r="K11" i="3"/>
  <c r="K10" i="3"/>
  <c r="K9" i="3"/>
  <c r="K7" i="3"/>
  <c r="K6" i="3"/>
  <c r="K5" i="3"/>
  <c r="K4" i="3"/>
  <c r="G41" i="3"/>
  <c r="G40" i="3"/>
  <c r="G39" i="3"/>
  <c r="G38" i="3"/>
  <c r="G36" i="3"/>
  <c r="G35" i="3"/>
  <c r="G34" i="3"/>
  <c r="G32" i="3"/>
  <c r="G31" i="3"/>
  <c r="G30" i="3"/>
  <c r="G28" i="3"/>
  <c r="G27" i="3"/>
  <c r="G26" i="3"/>
  <c r="G25" i="3"/>
  <c r="G23" i="3"/>
  <c r="G22" i="3"/>
  <c r="G21" i="3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5" i="1"/>
  <c r="P13" i="1"/>
  <c r="P12" i="1"/>
  <c r="P11" i="1"/>
  <c r="P10" i="1"/>
  <c r="P9" i="1"/>
  <c r="P8" i="1"/>
  <c r="P7" i="1"/>
  <c r="P6" i="1"/>
  <c r="P5" i="1"/>
  <c r="P4" i="1"/>
  <c r="P3" i="1"/>
  <c r="M12" i="1"/>
  <c r="M9" i="1"/>
  <c r="M4" i="1"/>
  <c r="N40" i="1"/>
  <c r="J40" i="1"/>
  <c r="M15" i="1"/>
  <c r="M13" i="1"/>
  <c r="M10" i="1"/>
  <c r="M8" i="1"/>
  <c r="M6" i="1"/>
  <c r="M5" i="1"/>
  <c r="M3" i="1"/>
  <c r="G33" i="2"/>
  <c r="G23" i="1"/>
  <c r="I23" i="1" s="1"/>
  <c r="F23" i="1"/>
  <c r="L33" i="2"/>
  <c r="H33" i="2"/>
  <c r="J3" i="2"/>
  <c r="J33" i="2" s="1"/>
  <c r="K40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P23" i="1" l="1"/>
  <c r="P40" i="1"/>
  <c r="K42" i="3"/>
  <c r="J42" i="3" s="1"/>
  <c r="G40" i="1"/>
  <c r="M40" i="1"/>
  <c r="I40" i="1"/>
  <c r="L40" i="1"/>
</calcChain>
</file>

<file path=xl/sharedStrings.xml><?xml version="1.0" encoding="utf-8"?>
<sst xmlns="http://schemas.openxmlformats.org/spreadsheetml/2006/main" count="343" uniqueCount="127">
  <si>
    <t>Sr</t>
  </si>
  <si>
    <t>ROUND</t>
  </si>
  <si>
    <t>Fancy PEAR</t>
  </si>
  <si>
    <t>Fancy MARQUISE</t>
  </si>
  <si>
    <t>Fancy OVAL</t>
  </si>
  <si>
    <t>Fancy RADIANT</t>
  </si>
  <si>
    <t>Fancy ROUND</t>
  </si>
  <si>
    <t>2.20-2.29</t>
  </si>
  <si>
    <t>2.40-2.49</t>
  </si>
  <si>
    <t>2.50-2.59</t>
  </si>
  <si>
    <t>2.60-2.69</t>
  </si>
  <si>
    <t>2.80-2.89</t>
  </si>
  <si>
    <t>2.90-2.99</t>
  </si>
  <si>
    <t>3.00-3.10</t>
  </si>
  <si>
    <t>3.10-3.19</t>
  </si>
  <si>
    <t>3.20-3.29</t>
  </si>
  <si>
    <t>3.30-3.39</t>
  </si>
  <si>
    <t>3.40-3.49</t>
  </si>
  <si>
    <t>3.50-3.59</t>
  </si>
  <si>
    <t>3.70-3.79</t>
  </si>
  <si>
    <t>4.00-4.09</t>
  </si>
  <si>
    <t>4.20-4.29</t>
  </si>
  <si>
    <t>5.00-5.10</t>
  </si>
  <si>
    <t>5.70-5.79</t>
  </si>
  <si>
    <t>6.20-6.80</t>
  </si>
  <si>
    <t>3.70-4.10</t>
  </si>
  <si>
    <t>7.40-8.10</t>
  </si>
  <si>
    <t>4.50-5.00</t>
  </si>
  <si>
    <t>7.90-8.50</t>
  </si>
  <si>
    <t>4.80-5.20</t>
  </si>
  <si>
    <t>8.80-9.09</t>
  </si>
  <si>
    <t>5.40-5.60</t>
  </si>
  <si>
    <t>7.60-7.69</t>
  </si>
  <si>
    <t>3.80-3.89</t>
  </si>
  <si>
    <t>8.20-8.29</t>
  </si>
  <si>
    <t>9.50-9.59</t>
  </si>
  <si>
    <t>4.40-4.49</t>
  </si>
  <si>
    <t>5.60-5.69</t>
  </si>
  <si>
    <t>6.00-7.50</t>
  </si>
  <si>
    <t>4.30-4.80</t>
  </si>
  <si>
    <t>7.00-7.09</t>
  </si>
  <si>
    <t>5.00-5.09</t>
  </si>
  <si>
    <t>8.10-8.20</t>
  </si>
  <si>
    <t>5.60-5.80</t>
  </si>
  <si>
    <t>6.10-6.20</t>
  </si>
  <si>
    <t>6.80-7.10</t>
  </si>
  <si>
    <t>4.85-5.09</t>
  </si>
  <si>
    <t>Description</t>
  </si>
  <si>
    <t>Shape</t>
  </si>
  <si>
    <t>Mm</t>
  </si>
  <si>
    <t>Pcs</t>
  </si>
  <si>
    <t>Carats</t>
  </si>
  <si>
    <t>Per/ct</t>
  </si>
  <si>
    <t>T.Import $</t>
  </si>
  <si>
    <t>Shaman Gems 02/2025-26</t>
  </si>
  <si>
    <t xml:space="preserve">Shaman Gems 02/2025-26 </t>
  </si>
  <si>
    <t>Mm2</t>
  </si>
  <si>
    <t>Total</t>
  </si>
  <si>
    <t>T.Carats</t>
  </si>
  <si>
    <t>Due Date</t>
  </si>
  <si>
    <t xml:space="preserve">Tejori Gems </t>
  </si>
  <si>
    <t>Consignment or Yet to Make Invoice</t>
  </si>
  <si>
    <t>Fancy Pears</t>
  </si>
  <si>
    <t>T.Sales $</t>
  </si>
  <si>
    <t>Comments</t>
  </si>
  <si>
    <t>Pcs2</t>
  </si>
  <si>
    <t>Customer</t>
  </si>
  <si>
    <t>Per/ct2</t>
  </si>
  <si>
    <t>Value</t>
  </si>
  <si>
    <t>Bal Cts</t>
  </si>
  <si>
    <t>Bal Pc</t>
  </si>
  <si>
    <t>Size</t>
  </si>
  <si>
    <t>+8.50-9</t>
  </si>
  <si>
    <t>+9.50-10</t>
  </si>
  <si>
    <t>+10-10.50</t>
  </si>
  <si>
    <t>+10.50-11</t>
  </si>
  <si>
    <t>+11.50-12</t>
  </si>
  <si>
    <t>+12-12.50</t>
  </si>
  <si>
    <t>+12.50-13</t>
  </si>
  <si>
    <t>+13-13.50</t>
  </si>
  <si>
    <t>+13.50-14</t>
  </si>
  <si>
    <t>+14.50-15</t>
  </si>
  <si>
    <t>+15-15.50</t>
  </si>
  <si>
    <t>1/5</t>
  </si>
  <si>
    <t>1/4</t>
  </si>
  <si>
    <t>1/3</t>
  </si>
  <si>
    <t>1/2</t>
  </si>
  <si>
    <t>3/4</t>
  </si>
  <si>
    <t>1ct</t>
  </si>
  <si>
    <t>Total USD</t>
  </si>
  <si>
    <t>Cts</t>
  </si>
  <si>
    <t>Avg</t>
  </si>
  <si>
    <t>PEAR</t>
  </si>
  <si>
    <t>RADIANT</t>
  </si>
  <si>
    <t>MARQUISE</t>
  </si>
  <si>
    <t xml:space="preserve"> OVAL</t>
  </si>
  <si>
    <t>3/8</t>
  </si>
  <si>
    <t>CTH</t>
  </si>
  <si>
    <t>CTT</t>
  </si>
  <si>
    <t>CQZ</t>
  </si>
  <si>
    <t>CQT</t>
  </si>
  <si>
    <t>CQC</t>
  </si>
  <si>
    <t>CCU</t>
  </si>
  <si>
    <t>CCH</t>
  </si>
  <si>
    <t>CCQ</t>
  </si>
  <si>
    <t>CCS</t>
  </si>
  <si>
    <t>CXN</t>
  </si>
  <si>
    <t>CSX</t>
  </si>
  <si>
    <t>CHT</t>
  </si>
  <si>
    <t>CSU</t>
  </si>
  <si>
    <t>CSD</t>
  </si>
  <si>
    <t>CSS</t>
  </si>
  <si>
    <t>Lot</t>
  </si>
  <si>
    <t>LAB GROWN DIAMONDS</t>
  </si>
  <si>
    <t>Date : 26 Feb 26</t>
  </si>
  <si>
    <t>Mamiya Jewellery</t>
  </si>
  <si>
    <t>Rounds</t>
  </si>
  <si>
    <t>3.00-3.09</t>
  </si>
  <si>
    <t>3.30-3.40</t>
  </si>
  <si>
    <t>LOOK</t>
  </si>
  <si>
    <t>Unnati</t>
  </si>
  <si>
    <t>Tejori</t>
  </si>
  <si>
    <t>Inv</t>
  </si>
  <si>
    <t>ANTS-D-0168</t>
  </si>
  <si>
    <t>ANTS-D-0173</t>
  </si>
  <si>
    <t>Chetan Jewellers</t>
  </si>
  <si>
    <t>50s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</si>
</sst>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b/>
      <sz val="10"/>
      <name val="Cambria"/>
      <family val="1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0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5" borderId="0" xfId="0" applyFill="1"/>
    <xf numFmtId="0" fontId="0" fillId="2" borderId="0" xfId="0" applyFill="1"/>
    <xf numFmtId="4" fontId="0" fillId="0" borderId="0" xfId="0" applyNumberFormat="1"/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2" fontId="1" fillId="5" borderId="12" xfId="0" applyNumberFormat="1" applyFont="1" applyFill="1" applyBorder="1" applyAlignment="1">
      <alignment horizontal="center" vertical="center"/>
    </xf>
    <xf numFmtId="2" fontId="1" fillId="5" borderId="10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horizontal="center" vertical="center"/>
    </xf>
    <xf numFmtId="2" fontId="1" fillId="5" borderId="23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97">
    <dxf>
      <fill>
        <patternFill patternType="solid">
          <fgColor indexed="64"/>
          <bgColor theme="8" tint="-0.249977111117893"/>
        </patternFill>
      </fill>
    </dxf>
    <dxf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rgb="FFFFC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7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E6CDB7-4D77-4E00-B268-F1FE3F195EEB}" name="Table2" displayName="Table2" ref="A2:Q40" totalsRowCount="1" headerRowDxfId="96" dataDxfId="95" totalsRowDxfId="94">
  <autoFilter ref="A2:Q39" xr:uid="{FAE6CDB7-4D77-4E00-B268-F1FE3F195EEB}"/>
  <tableColumns count="17">
    <tableColumn id="1" xr3:uid="{493824F1-774C-4BF2-8C55-7DA45CA824C4}" name="Sr" totalsRowLabel="Total" dataDxfId="93" totalsRowDxfId="16"/>
    <tableColumn id="2" xr3:uid="{AD150A22-ABC6-4D29-B703-65E9AA01CE43}" name="Description" dataDxfId="92" totalsRowDxfId="15"/>
    <tableColumn id="3" xr3:uid="{08E4F23B-AD25-478D-BA9C-9199D2A1877F}" name="Shape" dataDxfId="91" totalsRowDxfId="14"/>
    <tableColumn id="4" xr3:uid="{F34636DF-E1C5-49E3-9F77-3560DD197E57}" name="Mm" dataDxfId="90" totalsRowDxfId="13"/>
    <tableColumn id="5" xr3:uid="{B652820E-012E-469B-B074-C1E50668E562}" name="Mm2" dataDxfId="89" totalsRowDxfId="12"/>
    <tableColumn id="6" xr3:uid="{B39362B8-41BE-4404-A88A-02C945B9C705}" name="Pcs" dataDxfId="88" totalsRowDxfId="11"/>
    <tableColumn id="7" xr3:uid="{529D1541-4A04-467E-9107-B5EFBF361197}" name="Carats" totalsRowFunction="sum" dataDxfId="87" totalsRowDxfId="10"/>
    <tableColumn id="8" xr3:uid="{9A7C29BB-4665-4320-9D1E-247D5A0E9B42}" name="Per/ct" dataDxfId="86" totalsRowDxfId="9"/>
    <tableColumn id="9" xr3:uid="{AF46FF90-1F0B-486C-B9E7-A8B163E3FD6D}" name="T.Import $" totalsRowFunction="sum" dataDxfId="85" totalsRowDxfId="8"/>
    <tableColumn id="14" xr3:uid="{4B401C07-1679-40D8-A5BE-459924EBC348}" name="Pcs2" totalsRowFunction="sum" dataDxfId="84" totalsRowDxfId="7"/>
    <tableColumn id="10" xr3:uid="{5ACD347E-14E2-4814-A618-E66AF6FA2BA6}" name="T.Carats" totalsRowFunction="sum" dataDxfId="83" totalsRowDxfId="6"/>
    <tableColumn id="11" xr3:uid="{99A724D4-037F-4262-9627-2D14C9CFDC52}" name="Per/ct2" totalsRowFunction="sum" dataDxfId="82" totalsRowDxfId="5"/>
    <tableColumn id="12" xr3:uid="{9C69EE6D-D032-4FC4-8780-7828E27F9D75}" name="Value" totalsRowFunction="sum" dataDxfId="81" totalsRowDxfId="4"/>
    <tableColumn id="13" xr3:uid="{4BBB2E3F-A6DE-479D-B68C-C0E8D61D5E13}" name="Customer" totalsRowFunction="count" dataDxfId="80" totalsRowDxfId="3"/>
    <tableColumn id="15" xr3:uid="{E5A8EA3B-3D6B-4272-BB93-025304E7A439}" name="Bal Pc" dataDxfId="79" totalsRowDxfId="2"/>
    <tableColumn id="16" xr3:uid="{7F8C8826-17AD-47DA-8850-6442AA066E20}" name="Bal Cts" totalsRowFunction="sum" dataDxfId="78" totalsRowDxfId="1"/>
    <tableColumn id="17" xr3:uid="{348E2611-7ADB-4C76-A665-577B88AA1E37}" name="Comments" dataDxfId="7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A73A8A-0849-4321-88F3-78D80420149C}" name="Table22" displayName="Table22" ref="A2:L33" totalsRowCount="1" headerRowDxfId="76" dataDxfId="74" totalsRowDxfId="72" headerRowBorderDxfId="75" tableBorderDxfId="73" totalsRowBorderDxfId="71">
  <autoFilter ref="A2:L32" xr:uid="{18A73A8A-0849-4321-88F3-78D80420149C}"/>
  <tableColumns count="12">
    <tableColumn id="1" xr3:uid="{07BE103C-47A9-4554-A494-29DF1D7141AE}" name="Sr" totalsRowLabel="Total" dataDxfId="70" totalsRowDxfId="69"/>
    <tableColumn id="15" xr3:uid="{06A91A1E-6D5E-4B5C-8763-B7095D886ADE}" name="Inv" dataDxfId="68" totalsRowDxfId="67"/>
    <tableColumn id="2" xr3:uid="{4C1AFDB0-8008-49EF-9076-BF8B714A7025}" name="Description" dataDxfId="66" totalsRowDxfId="65"/>
    <tableColumn id="3" xr3:uid="{1DD28B5E-255E-45F5-967B-DDD25BE484BD}" name="Shape" dataDxfId="64" totalsRowDxfId="63"/>
    <tableColumn id="4" xr3:uid="{29E85504-CC4F-483B-9A8C-9FA86B307EDB}" name="Mm" dataDxfId="62" totalsRowDxfId="61"/>
    <tableColumn id="5" xr3:uid="{8DE8963E-04C3-41CE-A61F-038E574FF131}" name="Mm2" dataDxfId="60" totalsRowDxfId="59"/>
    <tableColumn id="6" xr3:uid="{B7ED1877-AD0C-436B-A99E-41681D88FF9E}" name="Pcs" totalsRowFunction="sum" dataDxfId="58" totalsRowDxfId="57"/>
    <tableColumn id="7" xr3:uid="{3F836ED0-D1BC-4117-92CE-32FADBE76D17}" name="Carats" totalsRowFunction="sum" dataDxfId="56" totalsRowDxfId="55"/>
    <tableColumn id="8" xr3:uid="{6C5D35FB-5C6C-4C0E-A2FB-1FEEC8BAF6C1}" name="Per/ct" dataDxfId="54" totalsRowDxfId="53"/>
    <tableColumn id="9" xr3:uid="{83963382-3894-4953-A45B-04237997D803}" name="T.Sales $" totalsRowFunction="sum" dataDxfId="52" totalsRowDxfId="51"/>
    <tableColumn id="12" xr3:uid="{FE2AB09F-A61B-4DBF-B6A3-0E41627587F0}" name="Due Date" dataDxfId="50" totalsRowDxfId="49"/>
    <tableColumn id="13" xr3:uid="{E3F26AC0-7F7C-475C-90E7-BA55F7D1C564}" name="Comments" totalsRowFunction="count" dataDxfId="48" totalsRowDxfId="47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B8E0E-7598-4B87-82EB-0C152179B93E}" name="Table3" displayName="Table3" ref="A3:L42" totalsRowCount="1" headerRowDxfId="46" dataDxfId="44" totalsRowDxfId="42" headerRowBorderDxfId="45" tableBorderDxfId="43" totalsRowBorderDxfId="41">
  <autoFilter ref="A3:L41" xr:uid="{FCAB8E0E-7598-4B87-82EB-0C152179B93E}"/>
  <tableColumns count="12">
    <tableColumn id="1" xr3:uid="{054D6424-EE5C-46D8-B4E6-F6FAA155E541}" name="Sr" totalsRowFunction="count" dataDxfId="40" totalsRowDxfId="39"/>
    <tableColumn id="2" xr3:uid="{CC068742-03BE-444B-A551-EA33B84465EA}" name="Shape" dataDxfId="38" totalsRowDxfId="37"/>
    <tableColumn id="5" xr3:uid="{507280C5-2E4E-4BC7-82A7-444E7B3D367E}" name="Lot" dataDxfId="36" totalsRowDxfId="35"/>
    <tableColumn id="14" xr3:uid="{98D108B9-28A0-480D-A3F7-A9398081764D}" name="Mm" dataDxfId="34" totalsRowDxfId="33"/>
    <tableColumn id="13" xr3:uid="{1269084B-70A0-4FA3-BF42-D12786B24AA1}" name="Mm2" dataDxfId="32" totalsRowDxfId="31"/>
    <tableColumn id="6" xr3:uid="{D3C945C8-984A-43C5-BD25-725222712765}" name="Size" dataDxfId="30" totalsRowDxfId="29"/>
    <tableColumn id="12" xr3:uid="{C5352FBA-5D04-4042-81DF-758BE1977B4E}" name="Avg" dataDxfId="28" totalsRowDxfId="27"/>
    <tableColumn id="7" xr3:uid="{231960CF-CE78-4ED5-8AE2-FBFC07ECC0A2}" name="Pcs" totalsRowFunction="sum" dataDxfId="26" totalsRowDxfId="25"/>
    <tableColumn id="8" xr3:uid="{C4643604-F69E-4E10-8199-3A232C25669E}" name="Cts" totalsRowFunction="sum" dataDxfId="24" totalsRowDxfId="23"/>
    <tableColumn id="9" xr3:uid="{561BB9E8-4241-419D-9A50-B05AA648AD03}" name="Per/ct2" totalsRowFunction="custom" dataDxfId="22" totalsRowDxfId="21">
      <totalsRowFormula>Table3[[#Totals],[Total USD]]/Table3[[#Totals],[Cts]]</totalsRowFormula>
    </tableColumn>
    <tableColumn id="10" xr3:uid="{2AE4C232-A322-4B04-A6C3-A8804BD89E0C}" name="Total USD" totalsRowFunction="sum" dataDxfId="20" totalsRowDxfId="19"/>
    <tableColumn id="11" xr3:uid="{EC9737F0-5591-4936-9B2D-44E10507C10E}" name="Comments" totalsRowFunction="count" dataDxfId="18" totalsRowDxfId="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A6E2-5A00-4E1B-9136-D5B3BB814EAE}">
  <dimension ref="A2:Q40"/>
  <sheetViews>
    <sheetView tabSelected="1" workbookViewId="0">
      <pane ySplit="2" topLeftCell="A3" activePane="bottomLeft" state="frozen"/>
      <selection pane="bottomLeft" activeCell="M12" sqref="M12"/>
    </sheetView>
  </sheetViews>
  <sheetFormatPr defaultRowHeight="15" customHeight="1" x14ac:dyDescent="0.3"/>
  <cols>
    <col min="1" max="1" width="6.5546875" style="1" customWidth="1"/>
    <col min="2" max="2" width="25.77734375" style="1" bestFit="1" customWidth="1"/>
    <col min="3" max="3" width="15.21875" style="1" bestFit="1" customWidth="1"/>
    <col min="4" max="5" width="15.21875" style="1" customWidth="1"/>
    <col min="6" max="7" width="8.88671875" style="1"/>
    <col min="8" max="8" width="10.5546875" style="1" bestFit="1" customWidth="1"/>
    <col min="9" max="9" width="12.109375" style="1" customWidth="1"/>
    <col min="10" max="10" width="9.33203125" style="1" customWidth="1"/>
    <col min="11" max="11" width="10.6640625" style="1" customWidth="1"/>
    <col min="12" max="12" width="12" style="1" bestFit="1" customWidth="1"/>
    <col min="13" max="13" width="10.6640625" style="1" customWidth="1"/>
    <col min="14" max="14" width="14.5546875" style="25" bestFit="1" customWidth="1"/>
    <col min="15" max="16" width="8.88671875" style="1"/>
    <col min="17" max="17" width="13.21875" style="1" customWidth="1"/>
    <col min="18" max="16384" width="8.88671875" style="1"/>
  </cols>
  <sheetData>
    <row r="2" spans="1:17" s="4" customFormat="1" ht="15" customHeight="1" x14ac:dyDescent="0.3">
      <c r="A2" s="4" t="s">
        <v>0</v>
      </c>
      <c r="B2" s="4" t="s">
        <v>47</v>
      </c>
      <c r="C2" s="4" t="s">
        <v>48</v>
      </c>
      <c r="D2" s="4" t="s">
        <v>49</v>
      </c>
      <c r="E2" s="4" t="s">
        <v>56</v>
      </c>
      <c r="F2" s="4" t="s">
        <v>50</v>
      </c>
      <c r="G2" s="4" t="s">
        <v>51</v>
      </c>
      <c r="H2" s="81" t="s">
        <v>52</v>
      </c>
      <c r="I2" s="4" t="s">
        <v>53</v>
      </c>
      <c r="J2" s="19" t="s">
        <v>65</v>
      </c>
      <c r="K2" s="19" t="s">
        <v>58</v>
      </c>
      <c r="L2" s="19" t="s">
        <v>67</v>
      </c>
      <c r="M2" s="19" t="s">
        <v>68</v>
      </c>
      <c r="N2" s="24" t="s">
        <v>66</v>
      </c>
      <c r="O2" s="27" t="s">
        <v>70</v>
      </c>
      <c r="P2" s="27" t="s">
        <v>69</v>
      </c>
      <c r="Q2" s="4" t="s">
        <v>64</v>
      </c>
    </row>
    <row r="3" spans="1:17" ht="15" customHeight="1" x14ac:dyDescent="0.3">
      <c r="A3" s="1">
        <v>1</v>
      </c>
      <c r="B3" s="1" t="s">
        <v>55</v>
      </c>
      <c r="C3" s="1" t="s">
        <v>1</v>
      </c>
      <c r="D3" s="1" t="s">
        <v>7</v>
      </c>
      <c r="E3" s="76" t="s">
        <v>72</v>
      </c>
      <c r="G3" s="1">
        <f>27.78-3.61</f>
        <v>24.17</v>
      </c>
      <c r="H3" s="80">
        <v>39.796151701059671</v>
      </c>
      <c r="I3" s="3">
        <f>H3*G3</f>
        <v>961.87298661461227</v>
      </c>
      <c r="J3" s="20">
        <v>175</v>
      </c>
      <c r="K3" s="1">
        <v>8.75</v>
      </c>
      <c r="L3" s="3">
        <v>56</v>
      </c>
      <c r="M3" s="3">
        <f>Table2[[#This Row],[Per/ct2]]*Table2[[#This Row],[T.Carats]]</f>
        <v>490</v>
      </c>
      <c r="N3" s="25" t="s">
        <v>119</v>
      </c>
      <c r="O3" s="79">
        <v>329</v>
      </c>
      <c r="P3" s="75">
        <f>Table2[[#This Row],[Carats]]-Table2[[#This Row],[T.Carats]]</f>
        <v>15.420000000000002</v>
      </c>
    </row>
    <row r="4" spans="1:17" ht="15" customHeight="1" x14ac:dyDescent="0.3">
      <c r="A4" s="1">
        <v>2</v>
      </c>
      <c r="B4" s="1" t="s">
        <v>54</v>
      </c>
      <c r="C4" s="1" t="s">
        <v>1</v>
      </c>
      <c r="D4" s="1" t="s">
        <v>8</v>
      </c>
      <c r="E4" s="76" t="s">
        <v>73</v>
      </c>
      <c r="G4" s="1">
        <f>21.38-3.9</f>
        <v>17.48</v>
      </c>
      <c r="H4" s="80">
        <v>37.645008365867263</v>
      </c>
      <c r="I4" s="3">
        <f t="shared" ref="I4:I36" si="0">H4*G4</f>
        <v>658.03474623535976</v>
      </c>
      <c r="J4" s="20">
        <v>65</v>
      </c>
      <c r="K4" s="2">
        <v>3.66</v>
      </c>
      <c r="L4" s="3">
        <v>56</v>
      </c>
      <c r="M4" s="3">
        <f>Table2[[#This Row],[Per/ct2]]*Table2[[#This Row],[T.Carats]]</f>
        <v>204.96</v>
      </c>
      <c r="N4" s="25" t="s">
        <v>119</v>
      </c>
      <c r="O4" s="79">
        <v>237</v>
      </c>
      <c r="P4" s="75">
        <f>Table2[[#This Row],[Carats]]-Table2[[#This Row],[T.Carats]]</f>
        <v>13.82</v>
      </c>
    </row>
    <row r="5" spans="1:17" ht="15" customHeight="1" x14ac:dyDescent="0.3">
      <c r="A5" s="1">
        <v>3</v>
      </c>
      <c r="B5" s="1" t="s">
        <v>54</v>
      </c>
      <c r="C5" s="1" t="s">
        <v>1</v>
      </c>
      <c r="D5" s="1" t="s">
        <v>9</v>
      </c>
      <c r="E5" s="76" t="s">
        <v>74</v>
      </c>
      <c r="G5" s="1">
        <f>26.94-0.39</f>
        <v>26.55</v>
      </c>
      <c r="H5" s="80">
        <v>32.267150027886224</v>
      </c>
      <c r="I5" s="3">
        <f t="shared" si="0"/>
        <v>856.69283324037929</v>
      </c>
      <c r="J5" s="20"/>
      <c r="L5" s="3">
        <v>58</v>
      </c>
      <c r="M5" s="3">
        <f>Table2[[#This Row],[Per/ct2]]*Table2[[#This Row],[T.Carats]]</f>
        <v>0</v>
      </c>
      <c r="O5" s="79">
        <v>413</v>
      </c>
      <c r="P5" s="75">
        <f>Table2[[#This Row],[Carats]]-Table2[[#This Row],[T.Carats]]</f>
        <v>26.55</v>
      </c>
    </row>
    <row r="6" spans="1:17" ht="15" customHeight="1" x14ac:dyDescent="0.3">
      <c r="A6" s="1">
        <v>4</v>
      </c>
      <c r="B6" s="1" t="s">
        <v>54</v>
      </c>
      <c r="C6" s="1" t="s">
        <v>1</v>
      </c>
      <c r="D6" s="1" t="s">
        <v>10</v>
      </c>
      <c r="E6" s="76" t="s">
        <v>75</v>
      </c>
      <c r="G6" s="1">
        <f>19.19-0.42</f>
        <v>18.77</v>
      </c>
      <c r="H6" s="80">
        <v>32.267150027886224</v>
      </c>
      <c r="I6" s="3">
        <f t="shared" si="0"/>
        <v>605.65440602342437</v>
      </c>
      <c r="J6" s="20">
        <v>61</v>
      </c>
      <c r="K6" s="2">
        <v>4.4000000000000004</v>
      </c>
      <c r="L6" s="3">
        <v>58</v>
      </c>
      <c r="M6" s="3">
        <f>Table2[[#This Row],[Per/ct2]]*Table2[[#This Row],[T.Carats]]</f>
        <v>255.20000000000002</v>
      </c>
      <c r="N6" s="25" t="s">
        <v>119</v>
      </c>
      <c r="O6" s="79">
        <v>197</v>
      </c>
      <c r="P6" s="75">
        <f>Table2[[#This Row],[Carats]]-Table2[[#This Row],[T.Carats]]</f>
        <v>14.37</v>
      </c>
    </row>
    <row r="7" spans="1:17" ht="15" customHeight="1" x14ac:dyDescent="0.3">
      <c r="A7" s="1">
        <v>5</v>
      </c>
      <c r="B7" s="1" t="s">
        <v>54</v>
      </c>
      <c r="C7" s="1" t="s">
        <v>1</v>
      </c>
      <c r="D7" s="1" t="s">
        <v>11</v>
      </c>
      <c r="E7" s="76"/>
      <c r="G7" s="1">
        <v>32.869999999999997</v>
      </c>
      <c r="H7" s="80">
        <v>32.267150027886224</v>
      </c>
      <c r="I7" s="3">
        <f t="shared" si="0"/>
        <v>1060.6212214166201</v>
      </c>
      <c r="J7" s="20"/>
      <c r="L7" s="3"/>
      <c r="O7" s="79">
        <v>371</v>
      </c>
      <c r="P7" s="75">
        <f>Table2[[#This Row],[Carats]]-Table2[[#This Row],[T.Carats]]</f>
        <v>32.869999999999997</v>
      </c>
    </row>
    <row r="8" spans="1:17" ht="15" customHeight="1" x14ac:dyDescent="0.3">
      <c r="A8" s="1">
        <v>6</v>
      </c>
      <c r="B8" s="1" t="s">
        <v>54</v>
      </c>
      <c r="C8" s="1" t="s">
        <v>1</v>
      </c>
      <c r="D8" s="1" t="s">
        <v>12</v>
      </c>
      <c r="E8" s="76" t="s">
        <v>77</v>
      </c>
      <c r="F8" s="1">
        <f>300-6</f>
        <v>294</v>
      </c>
      <c r="G8" s="2">
        <f>29.5-0.56</f>
        <v>28.94</v>
      </c>
      <c r="H8" s="80">
        <v>37.645008365867263</v>
      </c>
      <c r="I8" s="3">
        <f t="shared" si="0"/>
        <v>1089.4465421081986</v>
      </c>
      <c r="J8" s="20">
        <v>55</v>
      </c>
      <c r="K8" s="2">
        <v>5.4</v>
      </c>
      <c r="L8" s="3">
        <v>59</v>
      </c>
      <c r="M8" s="3">
        <f>Table2[[#This Row],[Per/ct2]]*Table2[[#This Row],[T.Carats]]</f>
        <v>318.60000000000002</v>
      </c>
      <c r="N8" s="25" t="s">
        <v>119</v>
      </c>
      <c r="O8" s="79">
        <v>241</v>
      </c>
      <c r="P8" s="75">
        <f>Table2[[#This Row],[Carats]]-Table2[[#This Row],[T.Carats]]</f>
        <v>23.54</v>
      </c>
    </row>
    <row r="9" spans="1:17" ht="15" customHeight="1" x14ac:dyDescent="0.3">
      <c r="A9" s="1">
        <v>7</v>
      </c>
      <c r="B9" s="1" t="s">
        <v>54</v>
      </c>
      <c r="C9" s="1" t="s">
        <v>1</v>
      </c>
      <c r="D9" s="1" t="s">
        <v>13</v>
      </c>
      <c r="E9" s="76" t="s">
        <v>78</v>
      </c>
      <c r="F9" s="1">
        <f>302-54</f>
        <v>248</v>
      </c>
      <c r="G9" s="1">
        <f>33.56-5.89</f>
        <v>27.67</v>
      </c>
      <c r="H9" s="80">
        <v>40.871723368655886</v>
      </c>
      <c r="I9" s="3">
        <f t="shared" si="0"/>
        <v>1130.9205856107085</v>
      </c>
      <c r="J9" s="20">
        <v>53</v>
      </c>
      <c r="K9" s="1">
        <v>5.83</v>
      </c>
      <c r="L9" s="3">
        <v>59</v>
      </c>
      <c r="M9" s="3">
        <f>Table2[[#This Row],[Per/ct2]]*Table2[[#This Row],[T.Carats]]</f>
        <v>343.97</v>
      </c>
      <c r="N9" s="25" t="s">
        <v>119</v>
      </c>
      <c r="O9" s="79">
        <v>196</v>
      </c>
      <c r="P9" s="75">
        <f>Table2[[#This Row],[Carats]]-Table2[[#This Row],[T.Carats]]</f>
        <v>21.840000000000003</v>
      </c>
    </row>
    <row r="10" spans="1:17" ht="15" customHeight="1" x14ac:dyDescent="0.3">
      <c r="A10" s="1">
        <v>8</v>
      </c>
      <c r="B10" s="1" t="s">
        <v>54</v>
      </c>
      <c r="C10" s="1" t="s">
        <v>1</v>
      </c>
      <c r="D10" s="1" t="s">
        <v>14</v>
      </c>
      <c r="E10" s="76" t="s">
        <v>79</v>
      </c>
      <c r="F10" s="1">
        <f>200-6</f>
        <v>194</v>
      </c>
      <c r="G10" s="1">
        <f>24.75-0.76</f>
        <v>23.99</v>
      </c>
      <c r="H10" s="80">
        <v>37.645008365867263</v>
      </c>
      <c r="I10" s="3">
        <f t="shared" si="0"/>
        <v>903.10375069715553</v>
      </c>
      <c r="J10" s="20">
        <v>52</v>
      </c>
      <c r="K10" s="1">
        <v>6.38</v>
      </c>
      <c r="L10" s="3">
        <v>59</v>
      </c>
      <c r="M10" s="3">
        <f>Table2[[#This Row],[Per/ct2]]*Table2[[#This Row],[T.Carats]]</f>
        <v>376.42</v>
      </c>
      <c r="N10" s="25" t="s">
        <v>119</v>
      </c>
      <c r="O10" s="79">
        <v>143</v>
      </c>
      <c r="P10" s="75">
        <f>Table2[[#This Row],[Carats]]-Table2[[#This Row],[T.Carats]]</f>
        <v>17.61</v>
      </c>
    </row>
    <row r="11" spans="1:17" ht="15" customHeight="1" x14ac:dyDescent="0.3">
      <c r="A11" s="1">
        <v>9</v>
      </c>
      <c r="B11" s="1" t="s">
        <v>54</v>
      </c>
      <c r="C11" s="1" t="s">
        <v>1</v>
      </c>
      <c r="D11" s="1" t="s">
        <v>15</v>
      </c>
      <c r="E11" s="76" t="s">
        <v>80</v>
      </c>
      <c r="F11" s="1">
        <v>150</v>
      </c>
      <c r="G11" s="1">
        <v>20.16</v>
      </c>
      <c r="H11" s="80">
        <v>37.645008365867263</v>
      </c>
      <c r="I11" s="3">
        <f t="shared" si="0"/>
        <v>758.92336865588402</v>
      </c>
      <c r="J11" s="20">
        <v>49</v>
      </c>
      <c r="K11" s="1">
        <v>6.55</v>
      </c>
      <c r="L11" s="3">
        <v>59</v>
      </c>
      <c r="M11" s="3">
        <f>Table2[[#This Row],[Per/ct2]]*Table2[[#This Row],[T.Carats]]</f>
        <v>386.45</v>
      </c>
      <c r="N11" s="25" t="s">
        <v>119</v>
      </c>
      <c r="O11" s="79">
        <v>100</v>
      </c>
      <c r="P11" s="75">
        <f>Table2[[#This Row],[Carats]]-Table2[[#This Row],[T.Carats]]</f>
        <v>13.61</v>
      </c>
    </row>
    <row r="12" spans="1:17" ht="15" customHeight="1" x14ac:dyDescent="0.3">
      <c r="A12" s="1">
        <v>10</v>
      </c>
      <c r="B12" s="1" t="s">
        <v>54</v>
      </c>
      <c r="C12" s="1" t="s">
        <v>1</v>
      </c>
      <c r="D12" s="1" t="s">
        <v>16</v>
      </c>
      <c r="E12" s="76"/>
      <c r="F12" s="1">
        <f>181-49</f>
        <v>132</v>
      </c>
      <c r="G12" s="2">
        <f>28.14-7.43-0.31</f>
        <v>20.400000000000002</v>
      </c>
      <c r="H12" s="80">
        <v>43.022866703848294</v>
      </c>
      <c r="I12" s="3">
        <f t="shared" si="0"/>
        <v>877.66648075850526</v>
      </c>
      <c r="J12" s="20">
        <v>49</v>
      </c>
      <c r="K12" s="2">
        <v>7.66</v>
      </c>
      <c r="L12" s="3">
        <v>63</v>
      </c>
      <c r="M12" s="3">
        <f>Table2[[#This Row],[Per/ct2]]*Table2[[#This Row],[T.Carats]]</f>
        <v>482.58</v>
      </c>
      <c r="N12" s="25" t="s">
        <v>119</v>
      </c>
      <c r="O12" s="79">
        <v>81</v>
      </c>
      <c r="P12" s="75">
        <f>Table2[[#This Row],[Carats]]-Table2[[#This Row],[T.Carats]]</f>
        <v>12.740000000000002</v>
      </c>
    </row>
    <row r="13" spans="1:17" ht="15" customHeight="1" x14ac:dyDescent="0.3">
      <c r="A13" s="1">
        <v>11</v>
      </c>
      <c r="B13" s="1" t="s">
        <v>54</v>
      </c>
      <c r="C13" s="1" t="s">
        <v>1</v>
      </c>
      <c r="D13" s="1" t="s">
        <v>17</v>
      </c>
      <c r="E13" s="76"/>
      <c r="F13" s="1">
        <f>77-6</f>
        <v>71</v>
      </c>
      <c r="G13" s="1">
        <f>12.89-1.03-0.5</f>
        <v>11.360000000000001</v>
      </c>
      <c r="H13" s="80">
        <v>43.022866703848294</v>
      </c>
      <c r="I13" s="3">
        <f t="shared" si="0"/>
        <v>488.73976575571669</v>
      </c>
      <c r="J13" s="20">
        <v>47</v>
      </c>
      <c r="K13" s="2">
        <v>7.8</v>
      </c>
      <c r="L13" s="3">
        <v>63</v>
      </c>
      <c r="M13" s="3">
        <f>Table2[[#This Row],[Per/ct2]]*Table2[[#This Row],[T.Carats]]</f>
        <v>491.4</v>
      </c>
      <c r="N13" s="25" t="s">
        <v>119</v>
      </c>
      <c r="O13" s="79">
        <v>21</v>
      </c>
      <c r="P13" s="75">
        <f>Table2[[#This Row],[Carats]]-Table2[[#This Row],[T.Carats]]</f>
        <v>3.5600000000000014</v>
      </c>
    </row>
    <row r="14" spans="1:17" ht="15" customHeight="1" x14ac:dyDescent="0.3">
      <c r="A14" s="1">
        <v>12</v>
      </c>
      <c r="B14" s="1" t="s">
        <v>54</v>
      </c>
      <c r="C14" s="1" t="s">
        <v>1</v>
      </c>
      <c r="D14" s="1" t="s">
        <v>18</v>
      </c>
      <c r="E14" s="76"/>
      <c r="F14" s="1">
        <v>142</v>
      </c>
      <c r="G14" s="1">
        <v>25.77</v>
      </c>
      <c r="H14" s="80">
        <v>45.174010039040709</v>
      </c>
      <c r="I14" s="3">
        <f t="shared" si="0"/>
        <v>1164.134238706079</v>
      </c>
      <c r="J14" s="20">
        <f>46+47+2+3</f>
        <v>98</v>
      </c>
      <c r="K14" s="2">
        <f>8.4+8.03+0.31+0.5</f>
        <v>17.239999999999998</v>
      </c>
      <c r="L14" s="3"/>
      <c r="N14" s="25" t="s">
        <v>119</v>
      </c>
      <c r="O14" s="79">
        <v>49</v>
      </c>
      <c r="P14" s="75">
        <v>9.3699999999999992</v>
      </c>
    </row>
    <row r="15" spans="1:17" ht="15" customHeight="1" x14ac:dyDescent="0.3">
      <c r="A15" s="1">
        <v>13</v>
      </c>
      <c r="B15" s="1" t="s">
        <v>54</v>
      </c>
      <c r="C15" s="1" t="s">
        <v>1</v>
      </c>
      <c r="D15" s="1" t="s">
        <v>19</v>
      </c>
      <c r="E15" s="76"/>
      <c r="F15" s="1">
        <f>150-3</f>
        <v>147</v>
      </c>
      <c r="G15" s="1">
        <f>31.04-0.62</f>
        <v>30.419999999999998</v>
      </c>
      <c r="H15" s="80">
        <v>50.551868377021755</v>
      </c>
      <c r="I15" s="3">
        <f t="shared" si="0"/>
        <v>1537.7878360290017</v>
      </c>
      <c r="J15" s="20"/>
      <c r="L15" s="3">
        <v>72</v>
      </c>
      <c r="M15" s="3">
        <f>Table2[[#This Row],[Per/ct2]]*Table2[[#This Row],[T.Carats]]</f>
        <v>0</v>
      </c>
      <c r="O15" s="79">
        <v>147</v>
      </c>
      <c r="P15" s="75">
        <f>Table2[[#This Row],[Carats]]-Table2[[#This Row],[T.Carats]]</f>
        <v>30.419999999999998</v>
      </c>
    </row>
    <row r="16" spans="1:17" ht="15" customHeight="1" x14ac:dyDescent="0.3">
      <c r="A16" s="1">
        <v>14</v>
      </c>
      <c r="B16" s="1" t="s">
        <v>54</v>
      </c>
      <c r="C16" s="1" t="s">
        <v>1</v>
      </c>
      <c r="D16" s="1" t="s">
        <v>20</v>
      </c>
      <c r="E16" s="76"/>
      <c r="F16" s="1">
        <v>302</v>
      </c>
      <c r="G16" s="1">
        <v>77.569999999999993</v>
      </c>
      <c r="H16" s="80">
        <v>58.080870050195195</v>
      </c>
      <c r="I16" s="3">
        <f t="shared" si="0"/>
        <v>4505.3330897936412</v>
      </c>
      <c r="J16" s="20"/>
      <c r="L16" s="3"/>
      <c r="O16" s="79">
        <v>302</v>
      </c>
      <c r="P16" s="75">
        <f>Table2[[#This Row],[Carats]]-Table2[[#This Row],[T.Carats]]</f>
        <v>77.569999999999993</v>
      </c>
    </row>
    <row r="17" spans="1:16" ht="15" customHeight="1" x14ac:dyDescent="0.3">
      <c r="A17" s="1">
        <v>15</v>
      </c>
      <c r="B17" s="1" t="s">
        <v>54</v>
      </c>
      <c r="C17" s="1" t="s">
        <v>1</v>
      </c>
      <c r="D17" s="1" t="s">
        <v>21</v>
      </c>
      <c r="E17" s="76"/>
      <c r="F17" s="1">
        <v>100</v>
      </c>
      <c r="G17" s="1">
        <v>30.57</v>
      </c>
      <c r="H17" s="80">
        <v>53.778583379810371</v>
      </c>
      <c r="I17" s="3">
        <f t="shared" si="0"/>
        <v>1644.0112939208032</v>
      </c>
      <c r="J17" s="20"/>
      <c r="L17" s="3"/>
      <c r="O17" s="79">
        <v>100</v>
      </c>
      <c r="P17" s="75">
        <f>Table2[[#This Row],[Carats]]-Table2[[#This Row],[T.Carats]]</f>
        <v>30.57</v>
      </c>
    </row>
    <row r="18" spans="1:16" ht="15" customHeight="1" x14ac:dyDescent="0.3">
      <c r="A18" s="1">
        <v>16</v>
      </c>
      <c r="B18" s="1" t="s">
        <v>54</v>
      </c>
      <c r="C18" s="1" t="s">
        <v>1</v>
      </c>
      <c r="D18" s="1" t="s">
        <v>22</v>
      </c>
      <c r="E18" s="76"/>
      <c r="F18" s="1">
        <f>70-33</f>
        <v>37</v>
      </c>
      <c r="G18" s="1">
        <f>35.47-16.87</f>
        <v>18.599999999999998</v>
      </c>
      <c r="H18" s="80">
        <v>60.232013385387617</v>
      </c>
      <c r="I18" s="3">
        <f t="shared" si="0"/>
        <v>1120.3154489682095</v>
      </c>
      <c r="J18" s="20"/>
      <c r="L18" s="3"/>
      <c r="M18" s="3"/>
      <c r="O18" s="79">
        <v>37</v>
      </c>
      <c r="P18" s="75">
        <f>Table2[[#This Row],[Carats]]-Table2[[#This Row],[T.Carats]]</f>
        <v>18.599999999999998</v>
      </c>
    </row>
    <row r="19" spans="1:16" ht="15" customHeight="1" x14ac:dyDescent="0.3">
      <c r="A19" s="1">
        <v>17</v>
      </c>
      <c r="B19" s="1" t="s">
        <v>54</v>
      </c>
      <c r="C19" s="1" t="s">
        <v>1</v>
      </c>
      <c r="D19" s="1" t="s">
        <v>23</v>
      </c>
      <c r="E19" s="76"/>
      <c r="F19" s="1">
        <v>35</v>
      </c>
      <c r="G19" s="1">
        <v>26.09</v>
      </c>
      <c r="H19" s="80">
        <v>57.005298382598987</v>
      </c>
      <c r="I19" s="3">
        <f t="shared" si="0"/>
        <v>1487.2682348020076</v>
      </c>
      <c r="J19" s="20"/>
      <c r="L19" s="3"/>
      <c r="O19" s="79">
        <v>35</v>
      </c>
      <c r="P19" s="75">
        <f>Table2[[#This Row],[Carats]]-Table2[[#This Row],[T.Carats]]</f>
        <v>26.09</v>
      </c>
    </row>
    <row r="20" spans="1:16" ht="15" customHeight="1" x14ac:dyDescent="0.3">
      <c r="A20" s="1">
        <v>18</v>
      </c>
      <c r="B20" s="1" t="s">
        <v>54</v>
      </c>
      <c r="C20" s="1" t="s">
        <v>2</v>
      </c>
      <c r="D20" s="1" t="s">
        <v>24</v>
      </c>
      <c r="E20" s="1" t="s">
        <v>25</v>
      </c>
      <c r="F20" s="1">
        <v>59</v>
      </c>
      <c r="G20" s="1">
        <v>21.44</v>
      </c>
      <c r="H20" s="80">
        <v>68.716193840379731</v>
      </c>
      <c r="I20" s="3">
        <f t="shared" si="0"/>
        <v>1473.2751959377415</v>
      </c>
      <c r="J20" s="20"/>
      <c r="L20" s="3"/>
      <c r="P20" s="2">
        <f>Table2[[#This Row],[Carats]]-Table2[[#This Row],[T.Carats]]</f>
        <v>21.44</v>
      </c>
    </row>
    <row r="21" spans="1:16" ht="15" customHeight="1" x14ac:dyDescent="0.3">
      <c r="A21" s="1">
        <v>19</v>
      </c>
      <c r="B21" s="1" t="s">
        <v>54</v>
      </c>
      <c r="C21" s="1" t="s">
        <v>2</v>
      </c>
      <c r="D21" s="1" t="s">
        <v>26</v>
      </c>
      <c r="E21" s="1" t="s">
        <v>27</v>
      </c>
      <c r="F21" s="1">
        <v>54</v>
      </c>
      <c r="G21" s="1">
        <v>32.25</v>
      </c>
      <c r="H21" s="80">
        <v>68.716193840379731</v>
      </c>
      <c r="I21" s="3">
        <f t="shared" si="0"/>
        <v>2216.0972513522465</v>
      </c>
      <c r="J21" s="20"/>
      <c r="L21" s="3"/>
      <c r="P21" s="2">
        <f>Table2[[#This Row],[Carats]]-Table2[[#This Row],[T.Carats]]</f>
        <v>32.25</v>
      </c>
    </row>
    <row r="22" spans="1:16" ht="15" customHeight="1" x14ac:dyDescent="0.3">
      <c r="A22" s="1">
        <v>20</v>
      </c>
      <c r="B22" s="1" t="s">
        <v>54</v>
      </c>
      <c r="C22" s="1" t="s">
        <v>2</v>
      </c>
      <c r="D22" s="1" t="s">
        <v>28</v>
      </c>
      <c r="E22" s="1" t="s">
        <v>29</v>
      </c>
      <c r="F22" s="1">
        <v>44</v>
      </c>
      <c r="G22" s="1">
        <v>33.46</v>
      </c>
      <c r="H22" s="80">
        <v>68.716193840379731</v>
      </c>
      <c r="I22" s="3">
        <f t="shared" si="0"/>
        <v>2299.243845899106</v>
      </c>
      <c r="J22" s="20"/>
      <c r="L22" s="3"/>
      <c r="P22" s="2">
        <f>Table2[[#This Row],[Carats]]-Table2[[#This Row],[T.Carats]]</f>
        <v>33.46</v>
      </c>
    </row>
    <row r="23" spans="1:16" ht="15" customHeight="1" x14ac:dyDescent="0.3">
      <c r="A23" s="1">
        <v>21</v>
      </c>
      <c r="B23" s="1" t="s">
        <v>54</v>
      </c>
      <c r="C23" s="1" t="s">
        <v>2</v>
      </c>
      <c r="D23" s="1" t="s">
        <v>30</v>
      </c>
      <c r="E23" s="1" t="s">
        <v>31</v>
      </c>
      <c r="F23" s="1">
        <f>28-2</f>
        <v>26</v>
      </c>
      <c r="G23" s="1">
        <f>29.37-2.13</f>
        <v>27.240000000000002</v>
      </c>
      <c r="H23" s="80">
        <v>76.16734738933657</v>
      </c>
      <c r="I23" s="3">
        <f t="shared" si="0"/>
        <v>2074.7985428855281</v>
      </c>
      <c r="J23" s="20">
        <v>1</v>
      </c>
      <c r="K23" s="1">
        <v>1.06</v>
      </c>
      <c r="L23" s="3">
        <v>95</v>
      </c>
      <c r="M23" s="3">
        <f>Table2[[#This Row],[Per/ct2]]*Table2[[#This Row],[T.Carats]]</f>
        <v>100.7</v>
      </c>
      <c r="N23" s="25" t="s">
        <v>121</v>
      </c>
      <c r="P23" s="2">
        <f>Table2[[#This Row],[Carats]]-Table2[[#This Row],[T.Carats]]</f>
        <v>26.180000000000003</v>
      </c>
    </row>
    <row r="24" spans="1:16" ht="15" customHeight="1" x14ac:dyDescent="0.3">
      <c r="A24" s="1">
        <v>22</v>
      </c>
      <c r="B24" s="1" t="s">
        <v>54</v>
      </c>
      <c r="C24" s="1" t="s">
        <v>3</v>
      </c>
      <c r="D24" s="1" t="s">
        <v>32</v>
      </c>
      <c r="E24" s="1" t="s">
        <v>33</v>
      </c>
      <c r="F24" s="1">
        <v>24</v>
      </c>
      <c r="G24" s="1">
        <v>9.7100000000000009</v>
      </c>
      <c r="H24" s="80">
        <v>75.284247709460203</v>
      </c>
      <c r="I24" s="3">
        <f t="shared" si="0"/>
        <v>731.01004525885867</v>
      </c>
      <c r="J24" s="20"/>
      <c r="L24" s="3"/>
      <c r="M24" s="3"/>
      <c r="P24" s="2">
        <f>Table2[[#This Row],[Carats]]-Table2[[#This Row],[T.Carats]]</f>
        <v>9.7100000000000009</v>
      </c>
    </row>
    <row r="25" spans="1:16" ht="15" customHeight="1" x14ac:dyDescent="0.3">
      <c r="A25" s="1">
        <v>23</v>
      </c>
      <c r="B25" s="1" t="s">
        <v>54</v>
      </c>
      <c r="C25" s="1" t="s">
        <v>3</v>
      </c>
      <c r="D25" s="1" t="s">
        <v>34</v>
      </c>
      <c r="E25" s="1" t="s">
        <v>21</v>
      </c>
      <c r="F25" s="1">
        <v>23</v>
      </c>
      <c r="G25" s="1">
        <v>12.11</v>
      </c>
      <c r="H25" s="80">
        <v>82.79059498840931</v>
      </c>
      <c r="I25" s="3">
        <f t="shared" si="0"/>
        <v>1002.5941053096367</v>
      </c>
      <c r="J25" s="20"/>
      <c r="L25" s="3"/>
      <c r="P25" s="2">
        <f>Table2[[#This Row],[Carats]]-Table2[[#This Row],[T.Carats]]</f>
        <v>12.11</v>
      </c>
    </row>
    <row r="26" spans="1:16" ht="15" customHeight="1" x14ac:dyDescent="0.3">
      <c r="A26" s="1">
        <v>24</v>
      </c>
      <c r="B26" s="1" t="s">
        <v>54</v>
      </c>
      <c r="C26" s="1" t="s">
        <v>3</v>
      </c>
      <c r="D26" s="1" t="s">
        <v>35</v>
      </c>
      <c r="E26" s="1" t="s">
        <v>36</v>
      </c>
      <c r="F26" s="1">
        <v>20</v>
      </c>
      <c r="G26" s="1">
        <v>14.91</v>
      </c>
      <c r="H26" s="80">
        <v>82.79059498840931</v>
      </c>
      <c r="I26" s="3">
        <f t="shared" si="0"/>
        <v>1234.4077712771827</v>
      </c>
      <c r="J26" s="20"/>
      <c r="L26" s="3"/>
      <c r="P26" s="2">
        <f>Table2[[#This Row],[Carats]]-Table2[[#This Row],[T.Carats]]</f>
        <v>14.91</v>
      </c>
    </row>
    <row r="27" spans="1:16" ht="15" customHeight="1" x14ac:dyDescent="0.3">
      <c r="A27" s="1">
        <v>25</v>
      </c>
      <c r="B27" s="1" t="s">
        <v>54</v>
      </c>
      <c r="C27" s="1" t="s">
        <v>4</v>
      </c>
      <c r="D27" s="1" t="s">
        <v>37</v>
      </c>
      <c r="E27" s="1" t="s">
        <v>20</v>
      </c>
      <c r="F27" s="1">
        <v>33</v>
      </c>
      <c r="G27" s="1">
        <v>11.86</v>
      </c>
      <c r="H27" s="80">
        <v>70.647974390109283</v>
      </c>
      <c r="I27" s="3">
        <f t="shared" si="0"/>
        <v>837.88497626669607</v>
      </c>
      <c r="J27" s="20">
        <v>10</v>
      </c>
      <c r="K27" s="2">
        <v>3.54</v>
      </c>
      <c r="L27" s="3">
        <v>89</v>
      </c>
      <c r="M27" s="3">
        <f>Table2[[#This Row],[Per/ct2]]*Table2[[#This Row],[T.Carats]]</f>
        <v>315.06</v>
      </c>
      <c r="N27" s="25" t="s">
        <v>120</v>
      </c>
      <c r="P27" s="2">
        <f>Table2[[#This Row],[Carats]]-Table2[[#This Row],[T.Carats]]</f>
        <v>8.32</v>
      </c>
    </row>
    <row r="28" spans="1:16" ht="15" customHeight="1" x14ac:dyDescent="0.3">
      <c r="A28" s="1">
        <v>26</v>
      </c>
      <c r="B28" s="1" t="s">
        <v>54</v>
      </c>
      <c r="C28" s="1" t="s">
        <v>4</v>
      </c>
      <c r="D28" s="1" t="s">
        <v>38</v>
      </c>
      <c r="E28" s="1" t="s">
        <v>39</v>
      </c>
      <c r="F28" s="1">
        <v>39</v>
      </c>
      <c r="G28" s="1">
        <v>21.61</v>
      </c>
      <c r="H28" s="80">
        <v>68.716193840379731</v>
      </c>
      <c r="I28" s="3">
        <f t="shared" si="0"/>
        <v>1484.9569488906059</v>
      </c>
      <c r="J28" s="20"/>
      <c r="L28" s="3"/>
      <c r="P28" s="2">
        <f>Table2[[#This Row],[Carats]]-Table2[[#This Row],[T.Carats]]</f>
        <v>21.61</v>
      </c>
    </row>
    <row r="29" spans="1:16" ht="15" customHeight="1" x14ac:dyDescent="0.3">
      <c r="A29" s="1">
        <v>27</v>
      </c>
      <c r="B29" s="1" t="s">
        <v>54</v>
      </c>
      <c r="C29" s="1" t="s">
        <v>4</v>
      </c>
      <c r="D29" s="1" t="s">
        <v>40</v>
      </c>
      <c r="E29" s="1" t="s">
        <v>41</v>
      </c>
      <c r="F29" s="1">
        <v>53</v>
      </c>
      <c r="G29" s="1">
        <v>39.24</v>
      </c>
      <c r="H29" s="80">
        <v>71.751848989954738</v>
      </c>
      <c r="I29" s="3">
        <f t="shared" si="0"/>
        <v>2815.5425543658239</v>
      </c>
      <c r="J29" s="20"/>
      <c r="L29" s="3"/>
      <c r="P29" s="2">
        <f>Table2[[#This Row],[Carats]]-Table2[[#This Row],[T.Carats]]</f>
        <v>39.24</v>
      </c>
    </row>
    <row r="30" spans="1:16" ht="15" customHeight="1" x14ac:dyDescent="0.3">
      <c r="A30" s="1">
        <v>28</v>
      </c>
      <c r="B30" s="1" t="s">
        <v>54</v>
      </c>
      <c r="C30" s="1" t="s">
        <v>4</v>
      </c>
      <c r="D30" s="1" t="s">
        <v>42</v>
      </c>
      <c r="E30" s="1" t="s">
        <v>43</v>
      </c>
      <c r="F30" s="1">
        <v>26</v>
      </c>
      <c r="G30" s="1">
        <v>27.54</v>
      </c>
      <c r="H30" s="80">
        <v>76.16734738933657</v>
      </c>
      <c r="I30" s="3">
        <f t="shared" si="0"/>
        <v>2097.6487471023293</v>
      </c>
      <c r="J30" s="20"/>
      <c r="L30" s="3"/>
      <c r="P30" s="2">
        <f>Table2[[#This Row],[Carats]]-Table2[[#This Row],[T.Carats]]</f>
        <v>27.54</v>
      </c>
    </row>
    <row r="31" spans="1:16" ht="15" customHeight="1" x14ac:dyDescent="0.3">
      <c r="A31" s="1">
        <v>29</v>
      </c>
      <c r="B31" s="1" t="s">
        <v>54</v>
      </c>
      <c r="C31" s="1" t="s">
        <v>5</v>
      </c>
      <c r="D31" s="1" t="s">
        <v>44</v>
      </c>
      <c r="E31" s="1" t="s">
        <v>36</v>
      </c>
      <c r="F31" s="1">
        <v>82</v>
      </c>
      <c r="G31" s="1">
        <v>59.01</v>
      </c>
      <c r="H31" s="80">
        <v>69.544099790263829</v>
      </c>
      <c r="I31" s="3">
        <f t="shared" si="0"/>
        <v>4103.7973286234683</v>
      </c>
      <c r="J31" s="20"/>
      <c r="L31" s="3"/>
      <c r="P31" s="2">
        <f>Table2[[#This Row],[Carats]]-Table2[[#This Row],[T.Carats]]</f>
        <v>59.01</v>
      </c>
    </row>
    <row r="32" spans="1:16" ht="15" customHeight="1" x14ac:dyDescent="0.3">
      <c r="A32" s="1">
        <v>30</v>
      </c>
      <c r="B32" s="1" t="s">
        <v>54</v>
      </c>
      <c r="C32" s="1" t="s">
        <v>5</v>
      </c>
      <c r="D32" s="1" t="s">
        <v>45</v>
      </c>
      <c r="E32" s="1" t="s">
        <v>46</v>
      </c>
      <c r="F32" s="1">
        <v>36</v>
      </c>
      <c r="G32" s="1">
        <v>37.21</v>
      </c>
      <c r="H32" s="80">
        <v>72.855723589800192</v>
      </c>
      <c r="I32" s="3">
        <f t="shared" si="0"/>
        <v>2710.9614747764654</v>
      </c>
      <c r="J32" s="20"/>
      <c r="L32" s="3"/>
      <c r="P32" s="2">
        <f>Table2[[#This Row],[Carats]]-Table2[[#This Row],[T.Carats]]</f>
        <v>37.21</v>
      </c>
    </row>
    <row r="33" spans="1:17" ht="15" customHeight="1" x14ac:dyDescent="0.3">
      <c r="A33" s="1">
        <v>31</v>
      </c>
      <c r="B33" s="1" t="s">
        <v>54</v>
      </c>
      <c r="C33" s="1" t="s">
        <v>6</v>
      </c>
      <c r="F33" s="1">
        <v>1</v>
      </c>
      <c r="G33" s="1">
        <v>10.07</v>
      </c>
      <c r="H33" s="80">
        <v>207</v>
      </c>
      <c r="I33" s="3">
        <f t="shared" si="0"/>
        <v>2084.4900000000002</v>
      </c>
      <c r="J33" s="20"/>
      <c r="L33" s="3"/>
      <c r="P33" s="2">
        <f>Table2[[#This Row],[Carats]]-Table2[[#This Row],[T.Carats]]</f>
        <v>10.07</v>
      </c>
    </row>
    <row r="34" spans="1:17" ht="15" customHeight="1" x14ac:dyDescent="0.3">
      <c r="A34" s="1">
        <v>32</v>
      </c>
      <c r="B34" s="1" t="s">
        <v>54</v>
      </c>
      <c r="C34" s="1" t="s">
        <v>1</v>
      </c>
      <c r="F34" s="1">
        <v>1</v>
      </c>
      <c r="G34" s="1">
        <v>5.61</v>
      </c>
      <c r="H34" s="80">
        <v>100</v>
      </c>
      <c r="I34" s="3">
        <f t="shared" si="0"/>
        <v>561</v>
      </c>
      <c r="J34" s="20"/>
      <c r="L34" s="3"/>
      <c r="P34" s="2">
        <f>Table2[[#This Row],[Carats]]-Table2[[#This Row],[T.Carats]]</f>
        <v>5.61</v>
      </c>
    </row>
    <row r="35" spans="1:17" ht="15" customHeight="1" x14ac:dyDescent="0.3">
      <c r="A35" s="1">
        <v>33</v>
      </c>
      <c r="B35" s="1" t="s">
        <v>54</v>
      </c>
      <c r="C35" s="1" t="s">
        <v>1</v>
      </c>
      <c r="F35" s="1">
        <v>1</v>
      </c>
      <c r="G35" s="1">
        <v>5.61</v>
      </c>
      <c r="H35" s="80">
        <v>100</v>
      </c>
      <c r="I35" s="3">
        <f t="shared" si="0"/>
        <v>561</v>
      </c>
      <c r="J35" s="20"/>
      <c r="L35" s="3"/>
      <c r="P35" s="2">
        <f>Table2[[#This Row],[Carats]]-Table2[[#This Row],[T.Carats]]</f>
        <v>5.61</v>
      </c>
    </row>
    <row r="36" spans="1:17" ht="15" customHeight="1" x14ac:dyDescent="0.3">
      <c r="A36" s="1">
        <v>34</v>
      </c>
      <c r="B36" s="1" t="s">
        <v>54</v>
      </c>
      <c r="C36" s="1" t="s">
        <v>2</v>
      </c>
      <c r="F36" s="1">
        <v>1</v>
      </c>
      <c r="G36" s="1">
        <v>5.01</v>
      </c>
      <c r="H36" s="80">
        <v>100</v>
      </c>
      <c r="I36" s="3">
        <f t="shared" si="0"/>
        <v>501</v>
      </c>
      <c r="J36" s="20"/>
      <c r="L36" s="3"/>
      <c r="P36" s="2">
        <f>Table2[[#This Row],[Carats]]-Table2[[#This Row],[T.Carats]]</f>
        <v>5.01</v>
      </c>
    </row>
    <row r="37" spans="1:17" ht="15" customHeight="1" x14ac:dyDescent="0.3">
      <c r="A37" s="1">
        <v>35</v>
      </c>
      <c r="B37" s="1" t="s">
        <v>54</v>
      </c>
      <c r="H37" s="81"/>
      <c r="I37" s="3">
        <v>1037</v>
      </c>
      <c r="J37" s="20"/>
      <c r="L37" s="3"/>
      <c r="P37" s="2">
        <f>Table2[[#This Row],[Carats]]-Table2[[#This Row],[T.Carats]]</f>
        <v>0</v>
      </c>
    </row>
    <row r="38" spans="1:17" ht="15" customHeight="1" x14ac:dyDescent="0.3">
      <c r="A38" s="1">
        <v>36</v>
      </c>
      <c r="B38" s="1" t="s">
        <v>54</v>
      </c>
      <c r="H38" s="81"/>
      <c r="I38" s="3">
        <v>298</v>
      </c>
      <c r="J38" s="20"/>
      <c r="L38" s="3"/>
      <c r="P38" s="2">
        <f>Table2[[#This Row],[Carats]]-Table2[[#This Row],[T.Carats]]</f>
        <v>0</v>
      </c>
    </row>
    <row r="39" spans="1:17" ht="15" customHeight="1" x14ac:dyDescent="0.3">
      <c r="H39" s="81"/>
      <c r="I39" s="3"/>
      <c r="J39" s="3"/>
      <c r="L39" s="3"/>
      <c r="P39" s="2"/>
    </row>
    <row r="40" spans="1:17" ht="15" customHeight="1" x14ac:dyDescent="0.3">
      <c r="A40" s="5" t="s">
        <v>57</v>
      </c>
      <c r="B40" s="5"/>
      <c r="C40" s="5"/>
      <c r="D40" s="5"/>
      <c r="E40" s="5"/>
      <c r="F40" s="5"/>
      <c r="G40" s="5">
        <f>SUBTOTAL(109,Table2[Carats])</f>
        <v>835.2700000000001</v>
      </c>
      <c r="H40" s="5"/>
      <c r="I40" s="6">
        <f>SUBTOTAL(109,Table2[T.Import $])</f>
        <v>50975.235617281993</v>
      </c>
      <c r="J40" s="22">
        <f>SUBTOTAL(109,Table2[Pcs2])</f>
        <v>715</v>
      </c>
      <c r="K40" s="23">
        <f>SUBTOTAL(109,Table2[T.Carats])</f>
        <v>78.27</v>
      </c>
      <c r="L40" s="21">
        <f>SUBTOTAL(109,Table2[Per/ct2])</f>
        <v>846</v>
      </c>
      <c r="M40" s="23">
        <f>SUBTOTAL(109,Table2[Value])</f>
        <v>3765.34</v>
      </c>
      <c r="N40" s="26">
        <f>SUBTOTAL(103,Table2[Customer])</f>
        <v>12</v>
      </c>
      <c r="O40" s="29"/>
      <c r="P40" s="28">
        <f>SUBTOTAL(109,Table2[Bal Cts])</f>
        <v>757.84</v>
      </c>
      <c r="Q40" s="3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1860-444B-4FB7-A726-BDC9EA8AE99F}">
  <dimension ref="A1:P33"/>
  <sheetViews>
    <sheetView workbookViewId="0">
      <selection activeCell="H20" sqref="H20"/>
    </sheetView>
  </sheetViews>
  <sheetFormatPr defaultRowHeight="13.2" x14ac:dyDescent="0.3"/>
  <cols>
    <col min="1" max="1" width="5.44140625" style="1" customWidth="1"/>
    <col min="2" max="2" width="12.33203125" style="1" customWidth="1"/>
    <col min="3" max="3" width="19.5546875" style="1" customWidth="1"/>
    <col min="4" max="4" width="13.109375" style="1" customWidth="1"/>
    <col min="5" max="5" width="11.6640625" style="1" customWidth="1"/>
    <col min="6" max="6" width="13" style="1" customWidth="1"/>
    <col min="7" max="7" width="7.77734375" style="1" customWidth="1"/>
    <col min="8" max="8" width="8.88671875" style="1"/>
    <col min="9" max="9" width="10.5546875" style="1" bestFit="1" customWidth="1"/>
    <col min="10" max="10" width="12.109375" style="1" customWidth="1"/>
    <col min="11" max="12" width="10.6640625" style="1" customWidth="1"/>
    <col min="13" max="15" width="8.88671875" style="1"/>
    <col min="16" max="16" width="9.5546875" style="1" bestFit="1" customWidth="1"/>
    <col min="17" max="16384" width="8.88671875" style="1"/>
  </cols>
  <sheetData>
    <row r="1" spans="1:12" ht="14.4" customHeight="1" x14ac:dyDescent="0.3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s="4" customFormat="1" ht="15" customHeight="1" x14ac:dyDescent="0.3">
      <c r="A2" s="7" t="s">
        <v>0</v>
      </c>
      <c r="B2" s="7" t="s">
        <v>122</v>
      </c>
      <c r="C2" s="8" t="s">
        <v>47</v>
      </c>
      <c r="D2" s="8" t="s">
        <v>48</v>
      </c>
      <c r="E2" s="8" t="s">
        <v>49</v>
      </c>
      <c r="F2" s="8" t="s">
        <v>56</v>
      </c>
      <c r="G2" s="8" t="s">
        <v>50</v>
      </c>
      <c r="H2" s="8" t="s">
        <v>51</v>
      </c>
      <c r="I2" s="8" t="s">
        <v>52</v>
      </c>
      <c r="J2" s="8" t="s">
        <v>63</v>
      </c>
      <c r="K2" s="8" t="s">
        <v>59</v>
      </c>
      <c r="L2" s="9" t="s">
        <v>64</v>
      </c>
    </row>
    <row r="3" spans="1:12" ht="15" customHeight="1" x14ac:dyDescent="0.3">
      <c r="A3" s="10">
        <v>1</v>
      </c>
      <c r="B3" s="10"/>
      <c r="C3" s="11" t="s">
        <v>60</v>
      </c>
      <c r="D3" s="11" t="s">
        <v>62</v>
      </c>
      <c r="E3" s="11" t="s">
        <v>30</v>
      </c>
      <c r="F3" s="11" t="s">
        <v>31</v>
      </c>
      <c r="G3" s="11">
        <v>2</v>
      </c>
      <c r="H3" s="11">
        <v>2.13</v>
      </c>
      <c r="I3" s="12">
        <v>95</v>
      </c>
      <c r="J3" s="13">
        <f t="shared" ref="J3:J16" si="0">I3*H3</f>
        <v>202.35</v>
      </c>
      <c r="K3" s="11"/>
      <c r="L3" s="14"/>
    </row>
    <row r="4" spans="1:12" ht="15" customHeight="1" x14ac:dyDescent="0.3">
      <c r="A4" s="10"/>
      <c r="B4" s="10"/>
      <c r="C4" s="11"/>
      <c r="D4" s="11"/>
      <c r="E4" s="11"/>
      <c r="F4" s="11"/>
      <c r="G4" s="11"/>
      <c r="H4" s="11"/>
      <c r="I4" s="11"/>
      <c r="J4" s="13"/>
      <c r="K4" s="11"/>
      <c r="L4" s="14"/>
    </row>
    <row r="5" spans="1:12" ht="15" customHeight="1" x14ac:dyDescent="0.3">
      <c r="A5" s="10">
        <v>2</v>
      </c>
      <c r="B5" s="10" t="s">
        <v>123</v>
      </c>
      <c r="C5" s="11" t="s">
        <v>115</v>
      </c>
      <c r="D5" s="11" t="s">
        <v>116</v>
      </c>
      <c r="E5" s="11" t="s">
        <v>7</v>
      </c>
      <c r="F5" s="11"/>
      <c r="G5" s="11">
        <v>74</v>
      </c>
      <c r="H5" s="11">
        <v>3.61</v>
      </c>
      <c r="I5" s="12">
        <v>56</v>
      </c>
      <c r="J5" s="13">
        <f t="shared" si="0"/>
        <v>202.16</v>
      </c>
      <c r="K5" s="77">
        <v>46090</v>
      </c>
      <c r="L5" s="14"/>
    </row>
    <row r="6" spans="1:12" ht="15" customHeight="1" x14ac:dyDescent="0.3">
      <c r="A6" s="10"/>
      <c r="B6" s="10" t="s">
        <v>123</v>
      </c>
      <c r="C6" s="11" t="s">
        <v>115</v>
      </c>
      <c r="D6" s="11" t="s">
        <v>116</v>
      </c>
      <c r="E6" s="11" t="s">
        <v>9</v>
      </c>
      <c r="F6" s="11"/>
      <c r="G6" s="11">
        <v>6</v>
      </c>
      <c r="H6" s="11">
        <v>0.39</v>
      </c>
      <c r="I6" s="12">
        <v>58</v>
      </c>
      <c r="J6" s="13">
        <f t="shared" si="0"/>
        <v>22.62</v>
      </c>
      <c r="K6" s="77">
        <v>46090</v>
      </c>
      <c r="L6" s="14"/>
    </row>
    <row r="7" spans="1:12" ht="15" customHeight="1" x14ac:dyDescent="0.3">
      <c r="A7" s="10"/>
      <c r="B7" s="10" t="s">
        <v>123</v>
      </c>
      <c r="C7" s="11" t="s">
        <v>115</v>
      </c>
      <c r="D7" s="11" t="s">
        <v>116</v>
      </c>
      <c r="E7" s="11" t="s">
        <v>10</v>
      </c>
      <c r="F7" s="11"/>
      <c r="G7" s="11">
        <v>6</v>
      </c>
      <c r="H7" s="11">
        <v>0.42</v>
      </c>
      <c r="I7" s="12">
        <v>58</v>
      </c>
      <c r="J7" s="13">
        <f t="shared" si="0"/>
        <v>24.36</v>
      </c>
      <c r="K7" s="77">
        <v>46090</v>
      </c>
      <c r="L7" s="14"/>
    </row>
    <row r="8" spans="1:12" ht="15" customHeight="1" x14ac:dyDescent="0.3">
      <c r="A8" s="10"/>
      <c r="B8" s="10" t="s">
        <v>123</v>
      </c>
      <c r="C8" s="11" t="s">
        <v>115</v>
      </c>
      <c r="D8" s="11" t="s">
        <v>116</v>
      </c>
      <c r="E8" s="11" t="s">
        <v>12</v>
      </c>
      <c r="F8" s="11"/>
      <c r="G8" s="11">
        <v>6</v>
      </c>
      <c r="H8" s="11">
        <v>0.56000000000000005</v>
      </c>
      <c r="I8" s="12">
        <v>59</v>
      </c>
      <c r="J8" s="13">
        <f t="shared" si="0"/>
        <v>33.040000000000006</v>
      </c>
      <c r="K8" s="77">
        <v>46090</v>
      </c>
      <c r="L8" s="14"/>
    </row>
    <row r="9" spans="1:12" ht="15" customHeight="1" x14ac:dyDescent="0.3">
      <c r="A9" s="10"/>
      <c r="B9" s="10" t="s">
        <v>123</v>
      </c>
      <c r="C9" s="11" t="s">
        <v>115</v>
      </c>
      <c r="D9" s="11" t="s">
        <v>116</v>
      </c>
      <c r="E9" s="11" t="s">
        <v>14</v>
      </c>
      <c r="F9" s="11"/>
      <c r="G9" s="11">
        <v>6</v>
      </c>
      <c r="H9" s="11">
        <v>0.76</v>
      </c>
      <c r="I9" s="12">
        <v>59</v>
      </c>
      <c r="J9" s="13">
        <f t="shared" si="0"/>
        <v>44.84</v>
      </c>
      <c r="K9" s="77">
        <v>46090</v>
      </c>
      <c r="L9" s="14"/>
    </row>
    <row r="10" spans="1:12" ht="15" customHeight="1" x14ac:dyDescent="0.3">
      <c r="A10" s="10"/>
      <c r="B10" s="10" t="s">
        <v>123</v>
      </c>
      <c r="C10" s="11" t="s">
        <v>115</v>
      </c>
      <c r="D10" s="11" t="s">
        <v>116</v>
      </c>
      <c r="E10" s="11" t="s">
        <v>17</v>
      </c>
      <c r="F10" s="11"/>
      <c r="G10" s="11">
        <v>6</v>
      </c>
      <c r="H10" s="11">
        <v>1.03</v>
      </c>
      <c r="I10" s="12">
        <v>63</v>
      </c>
      <c r="J10" s="13">
        <f t="shared" si="0"/>
        <v>64.89</v>
      </c>
      <c r="K10" s="77">
        <v>46090</v>
      </c>
      <c r="L10" s="14"/>
    </row>
    <row r="11" spans="1:12" ht="15" customHeight="1" x14ac:dyDescent="0.3">
      <c r="A11" s="10"/>
      <c r="B11" s="10" t="s">
        <v>123</v>
      </c>
      <c r="C11" s="11" t="s">
        <v>115</v>
      </c>
      <c r="D11" s="11" t="s">
        <v>116</v>
      </c>
      <c r="E11" s="11">
        <v>3.71</v>
      </c>
      <c r="F11" s="11"/>
      <c r="G11" s="11">
        <v>3</v>
      </c>
      <c r="H11" s="11">
        <v>0.62</v>
      </c>
      <c r="I11" s="12">
        <v>72</v>
      </c>
      <c r="J11" s="13">
        <f t="shared" si="0"/>
        <v>44.64</v>
      </c>
      <c r="K11" s="77">
        <v>46090</v>
      </c>
      <c r="L11" s="14"/>
    </row>
    <row r="12" spans="1:12" ht="15" customHeight="1" x14ac:dyDescent="0.3">
      <c r="A12" s="10"/>
      <c r="B12" s="10" t="s">
        <v>123</v>
      </c>
      <c r="C12" s="11" t="s">
        <v>115</v>
      </c>
      <c r="D12" s="11" t="s">
        <v>116</v>
      </c>
      <c r="E12" s="11" t="s">
        <v>8</v>
      </c>
      <c r="F12" s="11"/>
      <c r="G12" s="11">
        <v>68</v>
      </c>
      <c r="H12" s="12">
        <v>3.9</v>
      </c>
      <c r="I12" s="12">
        <v>56</v>
      </c>
      <c r="J12" s="13">
        <f t="shared" si="0"/>
        <v>218.4</v>
      </c>
      <c r="K12" s="77">
        <v>46090</v>
      </c>
      <c r="L12" s="14"/>
    </row>
    <row r="13" spans="1:12" ht="15" customHeight="1" x14ac:dyDescent="0.3">
      <c r="A13" s="10"/>
      <c r="B13" s="10" t="s">
        <v>123</v>
      </c>
      <c r="C13" s="11" t="s">
        <v>115</v>
      </c>
      <c r="D13" s="11" t="s">
        <v>116</v>
      </c>
      <c r="E13" s="11" t="s">
        <v>117</v>
      </c>
      <c r="F13" s="11"/>
      <c r="G13" s="11">
        <v>54</v>
      </c>
      <c r="H13" s="11">
        <v>5.89</v>
      </c>
      <c r="I13" s="12">
        <v>59</v>
      </c>
      <c r="J13" s="13">
        <f t="shared" si="0"/>
        <v>347.51</v>
      </c>
      <c r="K13" s="77">
        <v>46090</v>
      </c>
      <c r="L13" s="14"/>
    </row>
    <row r="14" spans="1:12" ht="15" customHeight="1" x14ac:dyDescent="0.3">
      <c r="A14" s="10"/>
      <c r="B14" s="10" t="s">
        <v>123</v>
      </c>
      <c r="C14" s="11" t="s">
        <v>115</v>
      </c>
      <c r="D14" s="11" t="s">
        <v>116</v>
      </c>
      <c r="E14" s="11" t="s">
        <v>118</v>
      </c>
      <c r="F14" s="11"/>
      <c r="G14" s="11">
        <v>49</v>
      </c>
      <c r="H14" s="11">
        <v>7.43</v>
      </c>
      <c r="I14" s="12">
        <v>63</v>
      </c>
      <c r="J14" s="13">
        <f t="shared" si="0"/>
        <v>468.09</v>
      </c>
      <c r="K14" s="77">
        <v>46090</v>
      </c>
      <c r="L14" s="14"/>
    </row>
    <row r="15" spans="1:12" ht="15" customHeight="1" x14ac:dyDescent="0.3">
      <c r="A15" s="10"/>
      <c r="B15" s="10"/>
      <c r="C15" s="11"/>
      <c r="D15" s="11"/>
      <c r="E15" s="11"/>
      <c r="F15" s="11"/>
      <c r="G15" s="11"/>
      <c r="H15" s="11"/>
      <c r="I15" s="12"/>
      <c r="J15" s="13"/>
      <c r="K15" s="11"/>
      <c r="L15" s="14"/>
    </row>
    <row r="16" spans="1:12" ht="15" customHeight="1" x14ac:dyDescent="0.3">
      <c r="A16" s="10">
        <v>3</v>
      </c>
      <c r="B16" s="10" t="s">
        <v>124</v>
      </c>
      <c r="C16" s="11" t="s">
        <v>125</v>
      </c>
      <c r="D16" s="11" t="s">
        <v>116</v>
      </c>
      <c r="E16" s="11" t="s">
        <v>126</v>
      </c>
      <c r="F16" s="11"/>
      <c r="G16" s="11">
        <v>33</v>
      </c>
      <c r="H16" s="11">
        <v>16.87</v>
      </c>
      <c r="I16" s="12">
        <v>75</v>
      </c>
      <c r="J16" s="13">
        <f t="shared" si="0"/>
        <v>1265.25</v>
      </c>
      <c r="K16" s="77">
        <v>46097</v>
      </c>
      <c r="L16" s="14"/>
    </row>
    <row r="17" spans="1:16" ht="15" customHeight="1" x14ac:dyDescent="0.3">
      <c r="A17" s="10"/>
      <c r="B17" s="10"/>
      <c r="C17" s="11"/>
      <c r="D17" s="11"/>
      <c r="E17" s="11"/>
      <c r="F17" s="11"/>
      <c r="G17" s="11"/>
      <c r="H17" s="11"/>
      <c r="I17" s="12"/>
      <c r="J17" s="13"/>
      <c r="K17" s="77"/>
      <c r="L17" s="14"/>
    </row>
    <row r="18" spans="1:16" ht="15" customHeight="1" x14ac:dyDescent="0.3">
      <c r="A18" s="10"/>
      <c r="B18" s="10"/>
      <c r="C18" s="11"/>
      <c r="D18" s="11"/>
      <c r="E18" s="11"/>
      <c r="F18" s="11"/>
      <c r="G18" s="11"/>
      <c r="H18" s="11"/>
      <c r="I18" s="12"/>
      <c r="J18" s="13"/>
      <c r="K18" s="77"/>
      <c r="L18" s="14"/>
    </row>
    <row r="19" spans="1:16" ht="15" customHeight="1" x14ac:dyDescent="0.3">
      <c r="A19" s="10"/>
      <c r="B19" s="10"/>
      <c r="C19" s="11"/>
      <c r="D19" s="11"/>
      <c r="E19" s="11"/>
      <c r="F19" s="11"/>
      <c r="G19" s="11"/>
      <c r="H19" s="11"/>
      <c r="I19" s="12"/>
      <c r="J19" s="13"/>
      <c r="K19" s="77"/>
      <c r="L19" s="14"/>
    </row>
    <row r="20" spans="1:16" ht="15" customHeight="1" x14ac:dyDescent="0.3">
      <c r="A20" s="10"/>
      <c r="B20" s="10"/>
      <c r="C20" s="11"/>
      <c r="D20" s="11"/>
      <c r="E20" s="11"/>
      <c r="F20" s="11"/>
      <c r="G20" s="11"/>
      <c r="H20" s="11"/>
      <c r="I20" s="12"/>
      <c r="J20" s="13"/>
      <c r="K20" s="77"/>
      <c r="L20" s="14"/>
    </row>
    <row r="21" spans="1:16" ht="15" customHeight="1" x14ac:dyDescent="0.3">
      <c r="A21" s="10"/>
      <c r="B21" s="10"/>
      <c r="C21" s="11"/>
      <c r="D21" s="11"/>
      <c r="E21" s="11"/>
      <c r="F21" s="11"/>
      <c r="G21" s="11"/>
      <c r="H21" s="11"/>
      <c r="I21" s="12"/>
      <c r="J21" s="13"/>
      <c r="K21" s="77"/>
      <c r="L21" s="14"/>
      <c r="P21" s="78"/>
    </row>
    <row r="22" spans="1:16" ht="15" customHeight="1" x14ac:dyDescent="0.3">
      <c r="A22" s="10"/>
      <c r="B22" s="10"/>
      <c r="C22" s="11"/>
      <c r="D22" s="11"/>
      <c r="E22" s="11"/>
      <c r="F22" s="11"/>
      <c r="G22" s="11"/>
      <c r="H22" s="11"/>
      <c r="I22" s="12"/>
      <c r="J22" s="13"/>
      <c r="K22" s="77"/>
      <c r="L22" s="14"/>
    </row>
    <row r="23" spans="1:16" ht="15" customHeight="1" x14ac:dyDescent="0.3">
      <c r="A23" s="10"/>
      <c r="B23" s="10"/>
      <c r="C23" s="11"/>
      <c r="D23" s="11"/>
      <c r="E23" s="11"/>
      <c r="F23" s="11"/>
      <c r="G23" s="11"/>
      <c r="H23" s="11"/>
      <c r="I23" s="12"/>
      <c r="J23" s="13"/>
      <c r="K23" s="77"/>
      <c r="L23" s="14"/>
    </row>
    <row r="24" spans="1:16" ht="15" customHeight="1" x14ac:dyDescent="0.3">
      <c r="A24" s="10"/>
      <c r="B24" s="10"/>
      <c r="C24" s="11"/>
      <c r="D24" s="11"/>
      <c r="E24" s="11"/>
      <c r="F24" s="11"/>
      <c r="G24" s="11"/>
      <c r="H24" s="11"/>
      <c r="I24" s="12"/>
      <c r="J24" s="13"/>
      <c r="K24" s="77"/>
      <c r="L24" s="14"/>
    </row>
    <row r="25" spans="1:16" ht="15" customHeight="1" x14ac:dyDescent="0.3">
      <c r="A25" s="10"/>
      <c r="B25" s="10"/>
      <c r="C25" s="11"/>
      <c r="D25" s="11"/>
      <c r="E25" s="11"/>
      <c r="F25" s="11"/>
      <c r="G25" s="11"/>
      <c r="H25" s="11"/>
      <c r="I25" s="12"/>
      <c r="J25" s="13"/>
      <c r="K25" s="11"/>
      <c r="L25" s="14"/>
    </row>
    <row r="26" spans="1:16" ht="15" customHeight="1" x14ac:dyDescent="0.3">
      <c r="A26" s="10"/>
      <c r="B26" s="10"/>
      <c r="C26" s="11"/>
      <c r="D26" s="11"/>
      <c r="E26" s="11"/>
      <c r="F26" s="11"/>
      <c r="G26" s="11"/>
      <c r="H26" s="11"/>
      <c r="I26" s="12"/>
      <c r="J26" s="13"/>
      <c r="K26" s="11"/>
      <c r="L26" s="14"/>
    </row>
    <row r="27" spans="1:16" x14ac:dyDescent="0.3">
      <c r="A27" s="10"/>
      <c r="B27" s="10"/>
      <c r="C27" s="11"/>
      <c r="D27" s="11"/>
      <c r="E27" s="11"/>
      <c r="F27" s="11"/>
      <c r="G27" s="11"/>
      <c r="H27" s="11"/>
      <c r="I27" s="12"/>
      <c r="J27" s="13"/>
      <c r="K27" s="11"/>
      <c r="L27" s="14"/>
    </row>
    <row r="28" spans="1:16" x14ac:dyDescent="0.3">
      <c r="A28" s="10"/>
      <c r="B28" s="10"/>
      <c r="C28" s="11"/>
      <c r="D28" s="11"/>
      <c r="E28" s="11"/>
      <c r="F28" s="11"/>
      <c r="G28" s="11"/>
      <c r="H28" s="11"/>
      <c r="I28" s="12"/>
      <c r="J28" s="13"/>
      <c r="K28" s="11"/>
      <c r="L28" s="14"/>
    </row>
    <row r="29" spans="1:16" x14ac:dyDescent="0.3">
      <c r="A29" s="10"/>
      <c r="B29" s="10"/>
      <c r="C29" s="11"/>
      <c r="D29" s="11"/>
      <c r="E29" s="11"/>
      <c r="F29" s="11"/>
      <c r="G29" s="11"/>
      <c r="H29" s="11"/>
      <c r="I29" s="12"/>
      <c r="J29" s="13"/>
      <c r="K29" s="11"/>
      <c r="L29" s="14"/>
    </row>
    <row r="30" spans="1:16" x14ac:dyDescent="0.3">
      <c r="A30" s="10"/>
      <c r="B30" s="10"/>
      <c r="C30" s="11"/>
      <c r="D30" s="11"/>
      <c r="E30" s="11"/>
      <c r="F30" s="11"/>
      <c r="G30" s="11"/>
      <c r="H30" s="11"/>
      <c r="I30" s="12"/>
      <c r="J30" s="13"/>
      <c r="K30" s="11"/>
      <c r="L30" s="14"/>
    </row>
    <row r="31" spans="1:16" x14ac:dyDescent="0.3">
      <c r="A31" s="10"/>
      <c r="B31" s="10"/>
      <c r="C31" s="11"/>
      <c r="D31" s="11"/>
      <c r="E31" s="11"/>
      <c r="F31" s="11"/>
      <c r="G31" s="11"/>
      <c r="H31" s="11"/>
      <c r="I31" s="12"/>
      <c r="J31" s="13"/>
      <c r="K31" s="11"/>
      <c r="L31" s="14"/>
    </row>
    <row r="32" spans="1:16" x14ac:dyDescent="0.3">
      <c r="A32" s="10"/>
      <c r="B32" s="10"/>
      <c r="C32" s="11"/>
      <c r="D32" s="11"/>
      <c r="E32" s="11"/>
      <c r="F32" s="11"/>
      <c r="G32" s="11"/>
      <c r="H32" s="11"/>
      <c r="I32" s="12"/>
      <c r="J32" s="13"/>
      <c r="K32" s="11"/>
      <c r="L32" s="14"/>
    </row>
    <row r="33" spans="1:12" x14ac:dyDescent="0.3">
      <c r="A33" s="15" t="s">
        <v>57</v>
      </c>
      <c r="B33" s="15"/>
      <c r="C33" s="16"/>
      <c r="D33" s="16"/>
      <c r="E33" s="16"/>
      <c r="F33" s="16"/>
      <c r="G33" s="16">
        <f>SUBTOTAL(109,Table22[Pcs])</f>
        <v>313</v>
      </c>
      <c r="H33" s="16">
        <f>SUBTOTAL(109,Table22[Carats])</f>
        <v>43.61</v>
      </c>
      <c r="I33" s="16"/>
      <c r="J33" s="17">
        <f>SUBTOTAL(109,Table22[T.Sales $])</f>
        <v>2938.1499999999996</v>
      </c>
      <c r="K33" s="16"/>
      <c r="L33" s="18">
        <f>SUBTOTAL(103,Table22[Comments])</f>
        <v>0</v>
      </c>
    </row>
  </sheetData>
  <mergeCells count="1">
    <mergeCell ref="A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E67A-2B04-4591-8798-A01BB4131042}">
  <dimension ref="A1:L43"/>
  <sheetViews>
    <sheetView zoomScaleNormal="100" workbookViewId="0">
      <selection activeCell="F22" sqref="F22"/>
    </sheetView>
  </sheetViews>
  <sheetFormatPr defaultRowHeight="14.4" x14ac:dyDescent="0.3"/>
  <cols>
    <col min="1" max="1" width="5.5546875" customWidth="1"/>
    <col min="2" max="2" width="12.109375" customWidth="1"/>
    <col min="3" max="3" width="7.109375" customWidth="1"/>
    <col min="6" max="6" width="9.5546875" customWidth="1"/>
    <col min="7" max="8" width="7.44140625" customWidth="1"/>
    <col min="9" max="9" width="8.5546875" customWidth="1"/>
    <col min="10" max="10" width="8.109375" customWidth="1"/>
    <col min="11" max="11" width="11.44140625" customWidth="1"/>
    <col min="12" max="12" width="14.109375" customWidth="1"/>
  </cols>
  <sheetData>
    <row r="1" spans="1:12" x14ac:dyDescent="0.3">
      <c r="L1" s="70" t="s">
        <v>114</v>
      </c>
    </row>
    <row r="2" spans="1:12" x14ac:dyDescent="0.3">
      <c r="A2" s="83" t="s">
        <v>113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x14ac:dyDescent="0.3">
      <c r="A3" s="66" t="s">
        <v>0</v>
      </c>
      <c r="B3" s="67" t="s">
        <v>48</v>
      </c>
      <c r="C3" s="67" t="s">
        <v>112</v>
      </c>
      <c r="D3" s="67" t="s">
        <v>49</v>
      </c>
      <c r="E3" s="67" t="s">
        <v>56</v>
      </c>
      <c r="F3" s="67" t="s">
        <v>71</v>
      </c>
      <c r="G3" s="67" t="s">
        <v>91</v>
      </c>
      <c r="H3" s="67" t="s">
        <v>50</v>
      </c>
      <c r="I3" s="67" t="s">
        <v>90</v>
      </c>
      <c r="J3" s="67" t="s">
        <v>67</v>
      </c>
      <c r="K3" s="67" t="s">
        <v>89</v>
      </c>
      <c r="L3" s="68" t="s">
        <v>64</v>
      </c>
    </row>
    <row r="4" spans="1:12" x14ac:dyDescent="0.3">
      <c r="A4" s="36">
        <v>1</v>
      </c>
      <c r="B4" s="37" t="s">
        <v>1</v>
      </c>
      <c r="C4" s="38" t="s">
        <v>97</v>
      </c>
      <c r="D4" s="37" t="s">
        <v>7</v>
      </c>
      <c r="E4" s="37"/>
      <c r="F4" s="39" t="s">
        <v>72</v>
      </c>
      <c r="G4" s="40"/>
      <c r="H4" s="37"/>
      <c r="I4" s="71">
        <v>24.17</v>
      </c>
      <c r="J4" s="61">
        <v>56</v>
      </c>
      <c r="K4" s="40">
        <f>Table3[[#This Row],[Per/ct2]]*Table3[[#This Row],[Cts]]</f>
        <v>1353.52</v>
      </c>
      <c r="L4" s="41"/>
    </row>
    <row r="5" spans="1:12" x14ac:dyDescent="0.3">
      <c r="A5" s="42">
        <v>2</v>
      </c>
      <c r="B5" s="32" t="s">
        <v>1</v>
      </c>
      <c r="C5" s="33" t="s">
        <v>97</v>
      </c>
      <c r="D5" s="32" t="s">
        <v>8</v>
      </c>
      <c r="E5" s="32"/>
      <c r="F5" s="34" t="s">
        <v>73</v>
      </c>
      <c r="G5" s="35"/>
      <c r="H5" s="32"/>
      <c r="I5" s="72">
        <v>17.48</v>
      </c>
      <c r="J5" s="62">
        <v>56</v>
      </c>
      <c r="K5" s="35">
        <f>Table3[[#This Row],[Per/ct2]]*Table3[[#This Row],[Cts]]</f>
        <v>978.88</v>
      </c>
      <c r="L5" s="43"/>
    </row>
    <row r="6" spans="1:12" x14ac:dyDescent="0.3">
      <c r="A6" s="42">
        <v>3</v>
      </c>
      <c r="B6" s="32" t="s">
        <v>1</v>
      </c>
      <c r="C6" s="33" t="s">
        <v>98</v>
      </c>
      <c r="D6" s="32" t="s">
        <v>9</v>
      </c>
      <c r="E6" s="32"/>
      <c r="F6" s="34" t="s">
        <v>74</v>
      </c>
      <c r="G6" s="35"/>
      <c r="H6" s="32"/>
      <c r="I6" s="72">
        <v>26.55</v>
      </c>
      <c r="J6" s="62">
        <v>58</v>
      </c>
      <c r="K6" s="35">
        <f>Table3[[#This Row],[Per/ct2]]*Table3[[#This Row],[Cts]]</f>
        <v>1539.9</v>
      </c>
      <c r="L6" s="43"/>
    </row>
    <row r="7" spans="1:12" x14ac:dyDescent="0.3">
      <c r="A7" s="44">
        <v>4</v>
      </c>
      <c r="B7" s="45" t="s">
        <v>1</v>
      </c>
      <c r="C7" s="46" t="s">
        <v>98</v>
      </c>
      <c r="D7" s="45" t="s">
        <v>10</v>
      </c>
      <c r="E7" s="45"/>
      <c r="F7" s="47" t="s">
        <v>75</v>
      </c>
      <c r="G7" s="48"/>
      <c r="H7" s="45"/>
      <c r="I7" s="73">
        <v>18.760000000000002</v>
      </c>
      <c r="J7" s="63">
        <v>58</v>
      </c>
      <c r="K7" s="48">
        <f>Table3[[#This Row],[Per/ct2]]*Table3[[#This Row],[Cts]]</f>
        <v>1088.0800000000002</v>
      </c>
      <c r="L7" s="49"/>
    </row>
    <row r="8" spans="1:12" x14ac:dyDescent="0.3">
      <c r="A8" s="50"/>
      <c r="B8" s="51"/>
      <c r="C8" s="52"/>
      <c r="D8" s="51"/>
      <c r="E8" s="51"/>
      <c r="F8" s="53"/>
      <c r="G8" s="54"/>
      <c r="H8" s="51"/>
      <c r="I8" s="52"/>
      <c r="J8" s="64"/>
      <c r="K8" s="52"/>
      <c r="L8" s="55"/>
    </row>
    <row r="9" spans="1:12" x14ac:dyDescent="0.3">
      <c r="A9" s="36">
        <v>5</v>
      </c>
      <c r="B9" s="37" t="s">
        <v>1</v>
      </c>
      <c r="C9" s="38" t="s">
        <v>98</v>
      </c>
      <c r="D9" s="37" t="s">
        <v>11</v>
      </c>
      <c r="E9" s="37"/>
      <c r="F9" s="39" t="s">
        <v>76</v>
      </c>
      <c r="G9" s="40"/>
      <c r="H9" s="37"/>
      <c r="I9" s="71">
        <v>32.869999999999997</v>
      </c>
      <c r="J9" s="61">
        <v>56</v>
      </c>
      <c r="K9" s="40">
        <f>Table3[[#This Row],[Per/ct2]]*Table3[[#This Row],[Cts]]</f>
        <v>1840.7199999999998</v>
      </c>
      <c r="L9" s="41"/>
    </row>
    <row r="10" spans="1:12" x14ac:dyDescent="0.3">
      <c r="A10" s="42">
        <v>6</v>
      </c>
      <c r="B10" s="32" t="s">
        <v>1</v>
      </c>
      <c r="C10" s="33" t="s">
        <v>97</v>
      </c>
      <c r="D10" s="32" t="s">
        <v>12</v>
      </c>
      <c r="E10" s="32"/>
      <c r="F10" s="34" t="s">
        <v>77</v>
      </c>
      <c r="G10" s="35"/>
      <c r="H10" s="32"/>
      <c r="I10" s="72">
        <v>28.94</v>
      </c>
      <c r="J10" s="62">
        <v>59</v>
      </c>
      <c r="K10" s="35">
        <f>Table3[[#This Row],[Per/ct2]]*Table3[[#This Row],[Cts]]</f>
        <v>1707.46</v>
      </c>
      <c r="L10" s="43"/>
    </row>
    <row r="11" spans="1:12" x14ac:dyDescent="0.3">
      <c r="A11" s="42">
        <v>7</v>
      </c>
      <c r="B11" s="32" t="s">
        <v>1</v>
      </c>
      <c r="C11" s="33" t="s">
        <v>99</v>
      </c>
      <c r="D11" s="32" t="s">
        <v>13</v>
      </c>
      <c r="E11" s="32"/>
      <c r="F11" s="34" t="s">
        <v>78</v>
      </c>
      <c r="G11" s="35"/>
      <c r="H11" s="32"/>
      <c r="I11" s="72">
        <v>27.67</v>
      </c>
      <c r="J11" s="62">
        <v>59</v>
      </c>
      <c r="K11" s="35">
        <f>Table3[[#This Row],[Per/ct2]]*Table3[[#This Row],[Cts]]</f>
        <v>1632.5300000000002</v>
      </c>
      <c r="L11" s="43"/>
    </row>
    <row r="12" spans="1:12" x14ac:dyDescent="0.3">
      <c r="A12" s="42">
        <v>8</v>
      </c>
      <c r="B12" s="32" t="s">
        <v>1</v>
      </c>
      <c r="C12" s="33" t="s">
        <v>97</v>
      </c>
      <c r="D12" s="32" t="s">
        <v>14</v>
      </c>
      <c r="E12" s="32"/>
      <c r="F12" s="34" t="s">
        <v>79</v>
      </c>
      <c r="G12" s="35"/>
      <c r="H12" s="32"/>
      <c r="I12" s="72">
        <v>23.99</v>
      </c>
      <c r="J12" s="62">
        <v>59</v>
      </c>
      <c r="K12" s="35">
        <f>Table3[[#This Row],[Per/ct2]]*Table3[[#This Row],[Cts]]</f>
        <v>1415.4099999999999</v>
      </c>
      <c r="L12" s="43"/>
    </row>
    <row r="13" spans="1:12" x14ac:dyDescent="0.3">
      <c r="A13" s="44">
        <v>9</v>
      </c>
      <c r="B13" s="45" t="s">
        <v>1</v>
      </c>
      <c r="C13" s="46" t="s">
        <v>97</v>
      </c>
      <c r="D13" s="45" t="s">
        <v>15</v>
      </c>
      <c r="E13" s="45"/>
      <c r="F13" s="47" t="s">
        <v>80</v>
      </c>
      <c r="G13" s="48"/>
      <c r="H13" s="45"/>
      <c r="I13" s="73">
        <v>20.16</v>
      </c>
      <c r="J13" s="63">
        <v>59</v>
      </c>
      <c r="K13" s="48">
        <f>Table3[[#This Row],[Per/ct2]]*Table3[[#This Row],[Cts]]</f>
        <v>1189.44</v>
      </c>
      <c r="L13" s="49"/>
    </row>
    <row r="14" spans="1:12" x14ac:dyDescent="0.3">
      <c r="A14" s="50"/>
      <c r="B14" s="51"/>
      <c r="C14" s="52"/>
      <c r="D14" s="51"/>
      <c r="E14" s="51"/>
      <c r="F14" s="53"/>
      <c r="G14" s="54"/>
      <c r="H14" s="51"/>
      <c r="I14" s="52"/>
      <c r="J14" s="64"/>
      <c r="K14" s="52"/>
      <c r="L14" s="55"/>
    </row>
    <row r="15" spans="1:12" x14ac:dyDescent="0.3">
      <c r="A15" s="36">
        <v>10</v>
      </c>
      <c r="B15" s="37" t="s">
        <v>1</v>
      </c>
      <c r="C15" s="38" t="s">
        <v>100</v>
      </c>
      <c r="D15" s="37" t="s">
        <v>16</v>
      </c>
      <c r="E15" s="37"/>
      <c r="F15" s="39" t="s">
        <v>81</v>
      </c>
      <c r="G15" s="40"/>
      <c r="H15" s="37"/>
      <c r="I15" s="71">
        <v>20.71</v>
      </c>
      <c r="J15" s="61">
        <v>63</v>
      </c>
      <c r="K15" s="40">
        <f>Table3[[#This Row],[Per/ct2]]*Table3[[#This Row],[Cts]]</f>
        <v>1304.73</v>
      </c>
      <c r="L15" s="41"/>
    </row>
    <row r="16" spans="1:12" x14ac:dyDescent="0.3">
      <c r="A16" s="44">
        <v>11</v>
      </c>
      <c r="B16" s="45" t="s">
        <v>1</v>
      </c>
      <c r="C16" s="46" t="s">
        <v>100</v>
      </c>
      <c r="D16" s="45" t="s">
        <v>17</v>
      </c>
      <c r="E16" s="45"/>
      <c r="F16" s="47" t="s">
        <v>82</v>
      </c>
      <c r="G16" s="48"/>
      <c r="H16" s="45"/>
      <c r="I16" s="73">
        <v>11.860000000000001</v>
      </c>
      <c r="J16" s="63">
        <v>63</v>
      </c>
      <c r="K16" s="48">
        <f>Table3[[#This Row],[Per/ct2]]*Table3[[#This Row],[Cts]]</f>
        <v>747.18000000000006</v>
      </c>
      <c r="L16" s="49"/>
    </row>
    <row r="17" spans="1:12" x14ac:dyDescent="0.3">
      <c r="A17" s="50"/>
      <c r="B17" s="51"/>
      <c r="C17" s="52"/>
      <c r="D17" s="51"/>
      <c r="E17" s="51"/>
      <c r="F17" s="53"/>
      <c r="G17" s="54"/>
      <c r="H17" s="51"/>
      <c r="I17" s="52"/>
      <c r="J17" s="64"/>
      <c r="K17" s="52"/>
      <c r="L17" s="55"/>
    </row>
    <row r="18" spans="1:12" x14ac:dyDescent="0.3">
      <c r="A18" s="36">
        <v>12</v>
      </c>
      <c r="B18" s="37" t="s">
        <v>1</v>
      </c>
      <c r="C18" s="38" t="s">
        <v>101</v>
      </c>
      <c r="D18" s="37" t="s">
        <v>18</v>
      </c>
      <c r="E18" s="37"/>
      <c r="F18" s="39" t="s">
        <v>83</v>
      </c>
      <c r="G18" s="40"/>
      <c r="H18" s="37"/>
      <c r="I18" s="71">
        <v>25.77</v>
      </c>
      <c r="J18" s="61">
        <v>61</v>
      </c>
      <c r="K18" s="40">
        <f>Table3[[#This Row],[Per/ct2]]*Table3[[#This Row],[Cts]]</f>
        <v>1571.97</v>
      </c>
      <c r="L18" s="41"/>
    </row>
    <row r="19" spans="1:12" x14ac:dyDescent="0.3">
      <c r="A19" s="44">
        <v>13</v>
      </c>
      <c r="B19" s="45" t="s">
        <v>1</v>
      </c>
      <c r="C19" s="46" t="s">
        <v>102</v>
      </c>
      <c r="D19" s="45" t="s">
        <v>19</v>
      </c>
      <c r="E19" s="45"/>
      <c r="F19" s="47" t="s">
        <v>83</v>
      </c>
      <c r="G19" s="48"/>
      <c r="H19" s="45"/>
      <c r="I19" s="73">
        <v>30.419999999999998</v>
      </c>
      <c r="J19" s="63">
        <v>72</v>
      </c>
      <c r="K19" s="48">
        <f>Table3[[#This Row],[Per/ct2]]*Table3[[#This Row],[Cts]]</f>
        <v>2190.2399999999998</v>
      </c>
      <c r="L19" s="49"/>
    </row>
    <row r="20" spans="1:12" x14ac:dyDescent="0.3">
      <c r="A20" s="50"/>
      <c r="B20" s="51"/>
      <c r="C20" s="52"/>
      <c r="D20" s="51"/>
      <c r="E20" s="51"/>
      <c r="F20" s="53"/>
      <c r="G20" s="54"/>
      <c r="H20" s="51"/>
      <c r="I20" s="52"/>
      <c r="J20" s="64"/>
      <c r="K20" s="52"/>
      <c r="L20" s="55"/>
    </row>
    <row r="21" spans="1:12" x14ac:dyDescent="0.3">
      <c r="A21" s="36">
        <v>14</v>
      </c>
      <c r="B21" s="37" t="s">
        <v>1</v>
      </c>
      <c r="C21" s="38" t="s">
        <v>103</v>
      </c>
      <c r="D21" s="37" t="s">
        <v>20</v>
      </c>
      <c r="E21" s="37"/>
      <c r="F21" s="39" t="s">
        <v>84</v>
      </c>
      <c r="G21" s="40">
        <f>Table3[[#This Row],[Cts]]/Table3[[#This Row],[Pcs]]</f>
        <v>0.25685430463576159</v>
      </c>
      <c r="H21" s="37">
        <v>302</v>
      </c>
      <c r="I21" s="71">
        <v>77.569999999999993</v>
      </c>
      <c r="J21" s="61">
        <v>80</v>
      </c>
      <c r="K21" s="40">
        <f>Table3[[#This Row],[Per/ct2]]*Table3[[#This Row],[Cts]]</f>
        <v>6205.5999999999995</v>
      </c>
      <c r="L21" s="41"/>
    </row>
    <row r="22" spans="1:12" x14ac:dyDescent="0.3">
      <c r="A22" s="42">
        <v>15</v>
      </c>
      <c r="B22" s="32" t="s">
        <v>1</v>
      </c>
      <c r="C22" s="33" t="s">
        <v>104</v>
      </c>
      <c r="D22" s="32" t="s">
        <v>21</v>
      </c>
      <c r="E22" s="32"/>
      <c r="F22" s="34" t="s">
        <v>85</v>
      </c>
      <c r="G22" s="35">
        <f>Table3[[#This Row],[Cts]]/Table3[[#This Row],[Pcs]]</f>
        <v>0.30570000000000003</v>
      </c>
      <c r="H22" s="32">
        <v>100</v>
      </c>
      <c r="I22" s="72">
        <v>30.57</v>
      </c>
      <c r="J22" s="62">
        <v>77</v>
      </c>
      <c r="K22" s="35">
        <f>Table3[[#This Row],[Per/ct2]]*Table3[[#This Row],[Cts]]</f>
        <v>2353.89</v>
      </c>
      <c r="L22" s="43"/>
    </row>
    <row r="23" spans="1:12" x14ac:dyDescent="0.3">
      <c r="A23" s="44">
        <v>16</v>
      </c>
      <c r="B23" s="45" t="s">
        <v>1</v>
      </c>
      <c r="C23" s="46" t="s">
        <v>105</v>
      </c>
      <c r="D23" s="45" t="s">
        <v>23</v>
      </c>
      <c r="E23" s="45"/>
      <c r="F23" s="47" t="s">
        <v>87</v>
      </c>
      <c r="G23" s="48">
        <f>Table3[[#This Row],[Cts]]/Table3[[#This Row],[Pcs]]</f>
        <v>0.74542857142857144</v>
      </c>
      <c r="H23" s="45">
        <v>35</v>
      </c>
      <c r="I23" s="73">
        <v>26.09</v>
      </c>
      <c r="J23" s="63">
        <v>79</v>
      </c>
      <c r="K23" s="48">
        <f>Table3[[#This Row],[Per/ct2]]*Table3[[#This Row],[Cts]]</f>
        <v>2061.11</v>
      </c>
      <c r="L23" s="49"/>
    </row>
    <row r="24" spans="1:12" x14ac:dyDescent="0.3">
      <c r="A24" s="50"/>
      <c r="B24" s="51"/>
      <c r="C24" s="52"/>
      <c r="D24" s="51"/>
      <c r="E24" s="51"/>
      <c r="F24" s="53"/>
      <c r="G24" s="54"/>
      <c r="H24" s="51"/>
      <c r="I24" s="52"/>
      <c r="J24" s="64"/>
      <c r="K24" s="52"/>
      <c r="L24" s="55"/>
    </row>
    <row r="25" spans="1:12" x14ac:dyDescent="0.3">
      <c r="A25" s="36">
        <v>17</v>
      </c>
      <c r="B25" s="37" t="s">
        <v>92</v>
      </c>
      <c r="C25" s="38" t="s">
        <v>106</v>
      </c>
      <c r="D25" s="37" t="s">
        <v>24</v>
      </c>
      <c r="E25" s="37" t="s">
        <v>25</v>
      </c>
      <c r="F25" s="39" t="s">
        <v>85</v>
      </c>
      <c r="G25" s="40">
        <f>Table3[[#This Row],[Cts]]/Table3[[#This Row],[Pcs]]</f>
        <v>0.36338983050847462</v>
      </c>
      <c r="H25" s="37">
        <v>59</v>
      </c>
      <c r="I25" s="71">
        <v>21.44</v>
      </c>
      <c r="J25" s="61">
        <v>89</v>
      </c>
      <c r="K25" s="40">
        <f>Table3[[#This Row],[Per/ct2]]*Table3[[#This Row],[Cts]]</f>
        <v>1908.16</v>
      </c>
      <c r="L25" s="41"/>
    </row>
    <row r="26" spans="1:12" x14ac:dyDescent="0.3">
      <c r="A26" s="42">
        <v>18</v>
      </c>
      <c r="B26" s="32" t="s">
        <v>92</v>
      </c>
      <c r="C26" s="33"/>
      <c r="D26" s="32"/>
      <c r="E26" s="32"/>
      <c r="F26" s="34" t="s">
        <v>86</v>
      </c>
      <c r="G26" s="35">
        <f>Table3[[#This Row],[Cts]]/Table3[[#This Row],[Pcs]]</f>
        <v>0.56903225806451618</v>
      </c>
      <c r="H26" s="32">
        <v>31</v>
      </c>
      <c r="I26" s="72">
        <v>17.64</v>
      </c>
      <c r="J26" s="62">
        <v>89</v>
      </c>
      <c r="K26" s="35">
        <f>Table3[[#This Row],[Per/ct2]]*Table3[[#This Row],[Cts]]</f>
        <v>1569.96</v>
      </c>
      <c r="L26" s="43"/>
    </row>
    <row r="27" spans="1:12" x14ac:dyDescent="0.3">
      <c r="A27" s="42">
        <v>19</v>
      </c>
      <c r="B27" s="32" t="s">
        <v>92</v>
      </c>
      <c r="C27" s="33"/>
      <c r="D27" s="32"/>
      <c r="E27" s="32"/>
      <c r="F27" s="34" t="s">
        <v>87</v>
      </c>
      <c r="G27" s="35">
        <f>Table3[[#This Row],[Cts]]/Table3[[#This Row],[Pcs]]</f>
        <v>0.76045454545454549</v>
      </c>
      <c r="H27" s="32">
        <v>44</v>
      </c>
      <c r="I27" s="72">
        <v>33.46</v>
      </c>
      <c r="J27" s="62">
        <v>89</v>
      </c>
      <c r="K27" s="35">
        <f>Table3[[#This Row],[Per/ct2]]*Table3[[#This Row],[Cts]]</f>
        <v>2977.94</v>
      </c>
      <c r="L27" s="43"/>
    </row>
    <row r="28" spans="1:12" x14ac:dyDescent="0.3">
      <c r="A28" s="44">
        <v>20</v>
      </c>
      <c r="B28" s="45" t="s">
        <v>92</v>
      </c>
      <c r="C28" s="46"/>
      <c r="D28" s="45"/>
      <c r="E28" s="45"/>
      <c r="F28" s="47" t="s">
        <v>88</v>
      </c>
      <c r="G28" s="48">
        <f>Table3[[#This Row],[Cts]]/Table3[[#This Row],[Pcs]]</f>
        <v>1.0476923076923077</v>
      </c>
      <c r="H28" s="45">
        <v>26</v>
      </c>
      <c r="I28" s="73">
        <v>27.24</v>
      </c>
      <c r="J28" s="63">
        <v>110</v>
      </c>
      <c r="K28" s="48">
        <f>Table3[[#This Row],[Per/ct2]]*Table3[[#This Row],[Cts]]</f>
        <v>2996.3999999999996</v>
      </c>
      <c r="L28" s="49"/>
    </row>
    <row r="29" spans="1:12" x14ac:dyDescent="0.3">
      <c r="A29" s="50"/>
      <c r="B29" s="51"/>
      <c r="C29" s="52"/>
      <c r="D29" s="51"/>
      <c r="E29" s="51"/>
      <c r="F29" s="53"/>
      <c r="G29" s="54"/>
      <c r="H29" s="51"/>
      <c r="I29" s="74"/>
      <c r="J29" s="64"/>
      <c r="K29" s="52"/>
      <c r="L29" s="55"/>
    </row>
    <row r="30" spans="1:12" x14ac:dyDescent="0.3">
      <c r="A30" s="36">
        <v>21</v>
      </c>
      <c r="B30" s="37" t="s">
        <v>93</v>
      </c>
      <c r="C30" s="38"/>
      <c r="D30" s="37"/>
      <c r="E30" s="37"/>
      <c r="F30" s="39" t="s">
        <v>87</v>
      </c>
      <c r="G30" s="40">
        <f>Table3[[#This Row],[Cts]]/Table3[[#This Row],[Pcs]]</f>
        <v>0.70925000000000005</v>
      </c>
      <c r="H30" s="37">
        <v>40</v>
      </c>
      <c r="I30" s="71">
        <v>28.37</v>
      </c>
      <c r="J30" s="61">
        <v>89</v>
      </c>
      <c r="K30" s="40">
        <f>Table3[[#This Row],[Per/ct2]]*Table3[[#This Row],[Cts]]</f>
        <v>2524.9300000000003</v>
      </c>
      <c r="L30" s="41"/>
    </row>
    <row r="31" spans="1:12" x14ac:dyDescent="0.3">
      <c r="A31" s="42">
        <v>22</v>
      </c>
      <c r="B31" s="32" t="s">
        <v>93</v>
      </c>
      <c r="C31" s="33"/>
      <c r="D31" s="32"/>
      <c r="E31" s="32"/>
      <c r="F31" s="34" t="s">
        <v>87</v>
      </c>
      <c r="G31" s="35">
        <f>Table3[[#This Row],[Cts]]/Table3[[#This Row],[Pcs]]</f>
        <v>0.72952380952380957</v>
      </c>
      <c r="H31" s="32">
        <v>42</v>
      </c>
      <c r="I31" s="72">
        <v>30.64</v>
      </c>
      <c r="J31" s="62">
        <v>89</v>
      </c>
      <c r="K31" s="35">
        <f>Table3[[#This Row],[Per/ct2]]*Table3[[#This Row],[Cts]]</f>
        <v>2726.96</v>
      </c>
      <c r="L31" s="43"/>
    </row>
    <row r="32" spans="1:12" x14ac:dyDescent="0.3">
      <c r="A32" s="44">
        <v>23</v>
      </c>
      <c r="B32" s="45" t="s">
        <v>93</v>
      </c>
      <c r="C32" s="46"/>
      <c r="D32" s="45"/>
      <c r="E32" s="45"/>
      <c r="F32" s="47" t="s">
        <v>88</v>
      </c>
      <c r="G32" s="48">
        <f>Table3[[#This Row],[Cts]]/Table3[[#This Row],[Pcs]]</f>
        <v>1.033611111111111</v>
      </c>
      <c r="H32" s="45">
        <v>36</v>
      </c>
      <c r="I32" s="73">
        <v>37.21</v>
      </c>
      <c r="J32" s="63">
        <v>99</v>
      </c>
      <c r="K32" s="48">
        <f>Table3[[#This Row],[Per/ct2]]*Table3[[#This Row],[Cts]]</f>
        <v>3683.79</v>
      </c>
      <c r="L32" s="49"/>
    </row>
    <row r="33" spans="1:12" x14ac:dyDescent="0.3">
      <c r="A33" s="50"/>
      <c r="B33" s="51"/>
      <c r="C33" s="52"/>
      <c r="D33" s="51"/>
      <c r="E33" s="51"/>
      <c r="F33" s="53"/>
      <c r="G33" s="54"/>
      <c r="H33" s="51"/>
      <c r="I33" s="52"/>
      <c r="J33" s="64"/>
      <c r="K33" s="52"/>
      <c r="L33" s="55"/>
    </row>
    <row r="34" spans="1:12" x14ac:dyDescent="0.3">
      <c r="A34" s="36">
        <v>24</v>
      </c>
      <c r="B34" s="37" t="s">
        <v>94</v>
      </c>
      <c r="C34" s="38" t="s">
        <v>107</v>
      </c>
      <c r="D34" s="37" t="s">
        <v>32</v>
      </c>
      <c r="E34" s="37" t="s">
        <v>33</v>
      </c>
      <c r="F34" s="39" t="s">
        <v>96</v>
      </c>
      <c r="G34" s="40">
        <f>Table3[[#This Row],[Cts]]/Table3[[#This Row],[Pcs]]</f>
        <v>0.4039130434782609</v>
      </c>
      <c r="H34" s="37">
        <v>23</v>
      </c>
      <c r="I34" s="71">
        <v>9.2900000000000009</v>
      </c>
      <c r="J34" s="61">
        <v>96</v>
      </c>
      <c r="K34" s="40">
        <f>Table3[[#This Row],[Per/ct2]]*Table3[[#This Row],[Cts]]</f>
        <v>891.84000000000015</v>
      </c>
      <c r="L34" s="41"/>
    </row>
    <row r="35" spans="1:12" x14ac:dyDescent="0.3">
      <c r="A35" s="42">
        <v>25</v>
      </c>
      <c r="B35" s="32" t="s">
        <v>94</v>
      </c>
      <c r="C35" s="33" t="s">
        <v>108</v>
      </c>
      <c r="D35" s="32" t="s">
        <v>34</v>
      </c>
      <c r="E35" s="32" t="s">
        <v>21</v>
      </c>
      <c r="F35" s="34" t="s">
        <v>86</v>
      </c>
      <c r="G35" s="35">
        <f>Table3[[#This Row],[Cts]]/Table3[[#This Row],[Pcs]]</f>
        <v>0.52652173913043476</v>
      </c>
      <c r="H35" s="32">
        <v>23</v>
      </c>
      <c r="I35" s="72">
        <v>12.11</v>
      </c>
      <c r="J35" s="62">
        <v>96</v>
      </c>
      <c r="K35" s="35">
        <f>Table3[[#This Row],[Per/ct2]]*Table3[[#This Row],[Cts]]</f>
        <v>1162.56</v>
      </c>
      <c r="L35" s="43"/>
    </row>
    <row r="36" spans="1:12" x14ac:dyDescent="0.3">
      <c r="A36" s="44">
        <v>26</v>
      </c>
      <c r="B36" s="45" t="s">
        <v>94</v>
      </c>
      <c r="C36" s="46" t="s">
        <v>108</v>
      </c>
      <c r="D36" s="45" t="s">
        <v>35</v>
      </c>
      <c r="E36" s="45" t="s">
        <v>36</v>
      </c>
      <c r="F36" s="47" t="s">
        <v>87</v>
      </c>
      <c r="G36" s="48">
        <f>Table3[[#This Row],[Cts]]/Table3[[#This Row],[Pcs]]</f>
        <v>0.74550000000000005</v>
      </c>
      <c r="H36" s="45">
        <v>20</v>
      </c>
      <c r="I36" s="73">
        <v>14.91</v>
      </c>
      <c r="J36" s="63">
        <v>101</v>
      </c>
      <c r="K36" s="48">
        <f>Table3[[#This Row],[Per/ct2]]*Table3[[#This Row],[Cts]]</f>
        <v>1505.91</v>
      </c>
      <c r="L36" s="49"/>
    </row>
    <row r="37" spans="1:12" x14ac:dyDescent="0.3">
      <c r="A37" s="50"/>
      <c r="B37" s="51"/>
      <c r="C37" s="52"/>
      <c r="D37" s="51"/>
      <c r="E37" s="51"/>
      <c r="F37" s="53"/>
      <c r="G37" s="54"/>
      <c r="H37" s="51"/>
      <c r="I37" s="52"/>
      <c r="J37" s="64"/>
      <c r="K37" s="52"/>
      <c r="L37" s="55"/>
    </row>
    <row r="38" spans="1:12" x14ac:dyDescent="0.3">
      <c r="A38" s="36">
        <v>27</v>
      </c>
      <c r="B38" s="37" t="s">
        <v>95</v>
      </c>
      <c r="C38" s="38" t="s">
        <v>109</v>
      </c>
      <c r="D38" s="37" t="s">
        <v>37</v>
      </c>
      <c r="E38" s="37" t="s">
        <v>20</v>
      </c>
      <c r="F38" s="39" t="s">
        <v>85</v>
      </c>
      <c r="G38" s="40">
        <f>Table3[[#This Row],[Cts]]/Table3[[#This Row],[Pcs]]</f>
        <v>0.35939393939393938</v>
      </c>
      <c r="H38" s="37">
        <v>33</v>
      </c>
      <c r="I38" s="71">
        <v>11.86</v>
      </c>
      <c r="J38" s="61">
        <v>89</v>
      </c>
      <c r="K38" s="40">
        <f>Table3[[#This Row],[Per/ct2]]*Table3[[#This Row],[Cts]]</f>
        <v>1055.54</v>
      </c>
      <c r="L38" s="41"/>
    </row>
    <row r="39" spans="1:12" x14ac:dyDescent="0.3">
      <c r="A39" s="42">
        <v>28</v>
      </c>
      <c r="B39" s="32" t="s">
        <v>95</v>
      </c>
      <c r="C39" s="33" t="s">
        <v>106</v>
      </c>
      <c r="D39" s="32" t="s">
        <v>38</v>
      </c>
      <c r="E39" s="32" t="s">
        <v>39</v>
      </c>
      <c r="F39" s="34" t="s">
        <v>86</v>
      </c>
      <c r="G39" s="35">
        <f>Table3[[#This Row],[Cts]]/Table3[[#This Row],[Pcs]]</f>
        <v>0.55410256410256409</v>
      </c>
      <c r="H39" s="32">
        <v>39</v>
      </c>
      <c r="I39" s="72">
        <v>21.61</v>
      </c>
      <c r="J39" s="62">
        <v>89</v>
      </c>
      <c r="K39" s="35">
        <f>Table3[[#This Row],[Per/ct2]]*Table3[[#This Row],[Cts]]</f>
        <v>1923.29</v>
      </c>
      <c r="L39" s="43"/>
    </row>
    <row r="40" spans="1:12" x14ac:dyDescent="0.3">
      <c r="A40" s="42">
        <v>29</v>
      </c>
      <c r="B40" s="32" t="s">
        <v>95</v>
      </c>
      <c r="C40" s="33" t="s">
        <v>110</v>
      </c>
      <c r="D40" s="32" t="s">
        <v>40</v>
      </c>
      <c r="E40" s="32" t="s">
        <v>41</v>
      </c>
      <c r="F40" s="34" t="s">
        <v>87</v>
      </c>
      <c r="G40" s="35">
        <f>Table3[[#This Row],[Cts]]/Table3[[#This Row],[Pcs]]</f>
        <v>0.74037735849056607</v>
      </c>
      <c r="H40" s="32">
        <v>53</v>
      </c>
      <c r="I40" s="72">
        <v>39.24</v>
      </c>
      <c r="J40" s="62">
        <v>96</v>
      </c>
      <c r="K40" s="35">
        <f>Table3[[#This Row],[Per/ct2]]*Table3[[#This Row],[Cts]]</f>
        <v>3767.04</v>
      </c>
      <c r="L40" s="43"/>
    </row>
    <row r="41" spans="1:12" x14ac:dyDescent="0.3">
      <c r="A41" s="44">
        <v>30</v>
      </c>
      <c r="B41" s="45" t="s">
        <v>95</v>
      </c>
      <c r="C41" s="46" t="s">
        <v>111</v>
      </c>
      <c r="D41" s="45" t="s">
        <v>42</v>
      </c>
      <c r="E41" s="45" t="s">
        <v>43</v>
      </c>
      <c r="F41" s="47" t="s">
        <v>88</v>
      </c>
      <c r="G41" s="48">
        <f>Table3[[#This Row],[Cts]]/Table3[[#This Row],[Pcs]]</f>
        <v>1.0592307692307692</v>
      </c>
      <c r="H41" s="45">
        <v>26</v>
      </c>
      <c r="I41" s="73">
        <v>27.54</v>
      </c>
      <c r="J41" s="63">
        <v>110</v>
      </c>
      <c r="K41" s="48">
        <f>Table3[[#This Row],[Per/ct2]]*Table3[[#This Row],[Cts]]</f>
        <v>3029.4</v>
      </c>
      <c r="L41" s="49"/>
    </row>
    <row r="42" spans="1:12" ht="15" thickBot="1" x14ac:dyDescent="0.35">
      <c r="A42" s="56">
        <f>SUBTOTAL(103,Table3[Sr])</f>
        <v>30</v>
      </c>
      <c r="B42" s="57"/>
      <c r="C42" s="57"/>
      <c r="D42" s="57"/>
      <c r="E42" s="57"/>
      <c r="F42" s="57"/>
      <c r="G42" s="57"/>
      <c r="H42" s="57">
        <f>SUBTOTAL(109,Table3[Pcs])</f>
        <v>932</v>
      </c>
      <c r="I42" s="58">
        <f>SUBTOTAL(109,Table3[Cts])</f>
        <v>776.14</v>
      </c>
      <c r="J42" s="65">
        <f>Table3[[#Totals],[Total USD]]/Table3[[#Totals],[Cts]]</f>
        <v>78.470868657716395</v>
      </c>
      <c r="K42" s="59">
        <f>SUBTOTAL(109,Table3[Total USD])</f>
        <v>60904.380000000005</v>
      </c>
      <c r="L42" s="60">
        <f>SUBTOTAL(103,Table3[Comments])</f>
        <v>0</v>
      </c>
    </row>
    <row r="43" spans="1:12" ht="15" thickTop="1" x14ac:dyDescent="0.3">
      <c r="G43" s="31"/>
      <c r="J43" s="69" t="s">
        <v>91</v>
      </c>
    </row>
  </sheetData>
  <mergeCells count="1">
    <mergeCell ref="A2:L2"/>
  </mergeCells>
  <phoneticPr fontId="5" type="noConversion"/>
  <pageMargins left="0.31496062992125984" right="0.31496062992125984" top="1.1417322834645669" bottom="0.74803149606299213" header="0.31496062992125984" footer="0.31496062992125984"/>
  <pageSetup paperSize="9"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</vt:lpstr>
      <vt:lpstr>Con-Sales</vt:lpstr>
      <vt:lpstr>Show Market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2026-02-26T07:31:23Z</cp:lastPrinted>
  <dcterms:created xsi:type="dcterms:W3CDTF">2026-02-23T13:57:28Z</dcterms:created>
  <dcterms:modified xsi:type="dcterms:W3CDTF">2026-03-18T11:21:58Z</dcterms:modified>
</cp:coreProperties>
</file>