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0.103\new data important\1.NEW DATA 10.10.2015\"/>
    </mc:Choice>
  </mc:AlternateContent>
  <xr:revisionPtr revIDLastSave="0" documentId="13_ncr:1_{0BA472D4-F9BC-4B6A-B876-2BB2A9FBF2DF}" xr6:coauthVersionLast="47" xr6:coauthVersionMax="47" xr10:uidLastSave="{00000000-0000-0000-0000-000000000000}"/>
  <bookViews>
    <workbookView xWindow="-108" yWindow="-108" windowWidth="23256" windowHeight="12456" xr2:uid="{82930BCD-715E-40F9-9920-28CB0F671F6F}"/>
  </bookViews>
  <sheets>
    <sheet name="Round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9" i="1" l="1"/>
  <c r="P39" i="1"/>
  <c r="O39" i="1"/>
  <c r="I39" i="1"/>
  <c r="H39" i="1"/>
  <c r="A39" i="1"/>
  <c r="S38" i="1"/>
  <c r="Q38" i="1"/>
  <c r="M38" i="1"/>
  <c r="G38" i="1"/>
  <c r="M37" i="1"/>
  <c r="G37" i="1"/>
  <c r="M36" i="1"/>
  <c r="G36" i="1"/>
  <c r="M35" i="1"/>
  <c r="G35" i="1"/>
  <c r="M34" i="1"/>
  <c r="G34" i="1"/>
  <c r="M33" i="1"/>
  <c r="G33" i="1"/>
  <c r="M32" i="1"/>
  <c r="G32" i="1"/>
  <c r="M31" i="1"/>
  <c r="G31" i="1"/>
  <c r="M30" i="1"/>
  <c r="G30" i="1"/>
  <c r="M29" i="1"/>
  <c r="G29" i="1"/>
  <c r="M28" i="1"/>
  <c r="G28" i="1"/>
  <c r="M27" i="1"/>
  <c r="G27" i="1"/>
  <c r="S25" i="1"/>
  <c r="Q25" i="1"/>
  <c r="M25" i="1"/>
  <c r="G25" i="1"/>
  <c r="M24" i="1"/>
  <c r="G24" i="1"/>
  <c r="M23" i="1"/>
  <c r="G23" i="1"/>
  <c r="M22" i="1"/>
  <c r="G22" i="1"/>
  <c r="M21" i="1"/>
  <c r="G21" i="1"/>
  <c r="M20" i="1"/>
  <c r="G20" i="1"/>
  <c r="M19" i="1"/>
  <c r="G19" i="1"/>
  <c r="M18" i="1"/>
  <c r="G18" i="1"/>
  <c r="M17" i="1"/>
  <c r="G17" i="1"/>
  <c r="M16" i="1"/>
  <c r="G16" i="1"/>
  <c r="S13" i="1"/>
  <c r="T13" i="1" s="1"/>
  <c r="Q13" i="1"/>
  <c r="M13" i="1"/>
  <c r="G13" i="1"/>
  <c r="S11" i="1"/>
  <c r="T11" i="1" s="1"/>
  <c r="Q11" i="1"/>
  <c r="M11" i="1"/>
  <c r="S10" i="1"/>
  <c r="T10" i="1" s="1"/>
  <c r="Q10" i="1"/>
  <c r="M10" i="1"/>
  <c r="G10" i="1"/>
  <c r="S8" i="1"/>
  <c r="T8" i="1" s="1"/>
  <c r="Q8" i="1"/>
  <c r="M8" i="1"/>
  <c r="T7" i="1"/>
  <c r="S7" i="1"/>
  <c r="Q7" i="1"/>
  <c r="M7" i="1"/>
  <c r="G7" i="1"/>
  <c r="S5" i="1"/>
  <c r="S39" i="1" s="1"/>
  <c r="Q5" i="1"/>
  <c r="T5" i="1" s="1"/>
  <c r="M5" i="1"/>
  <c r="G5" i="1"/>
  <c r="M39" i="1" l="1"/>
  <c r="T25" i="1"/>
  <c r="T38" i="1"/>
  <c r="T39" i="1"/>
  <c r="Q39" i="1"/>
</calcChain>
</file>

<file path=xl/sharedStrings.xml><?xml version="1.0" encoding="utf-8"?>
<sst xmlns="http://schemas.openxmlformats.org/spreadsheetml/2006/main" count="126" uniqueCount="82">
  <si>
    <t>18k White Gold Jewellery in Natural Diamonds</t>
  </si>
  <si>
    <t>Sr</t>
  </si>
  <si>
    <t>Length</t>
  </si>
  <si>
    <t>ITEM</t>
  </si>
  <si>
    <t>LAB</t>
  </si>
  <si>
    <t>Cert Number</t>
  </si>
  <si>
    <t>Size Avg.</t>
  </si>
  <si>
    <t>Avg Pts</t>
  </si>
  <si>
    <t>No.Pcs</t>
  </si>
  <si>
    <t>Diam Cts</t>
  </si>
  <si>
    <t>Col - Clarity</t>
  </si>
  <si>
    <t>LOT</t>
  </si>
  <si>
    <t>Per/ct</t>
  </si>
  <si>
    <t>Diam Total</t>
  </si>
  <si>
    <t>Gold+Lab</t>
  </si>
  <si>
    <t>Gross Gm</t>
  </si>
  <si>
    <t>Net Gm</t>
  </si>
  <si>
    <t>Gold Total</t>
  </si>
  <si>
    <t>Diam Settg</t>
  </si>
  <si>
    <t>Cert Exp</t>
  </si>
  <si>
    <t>Total Amt $</t>
  </si>
  <si>
    <t>17.70cm</t>
  </si>
  <si>
    <t>Tennis Braclet Rounds</t>
  </si>
  <si>
    <t>HRD</t>
  </si>
  <si>
    <t>J260000105039</t>
  </si>
  <si>
    <t>+12-13</t>
  </si>
  <si>
    <t>EF VS-SI</t>
  </si>
  <si>
    <t>CQCZ</t>
  </si>
  <si>
    <t>17.50cm</t>
  </si>
  <si>
    <t>Tennis Braclet U - Rounds</t>
  </si>
  <si>
    <t>J260000049963</t>
  </si>
  <si>
    <t>+14</t>
  </si>
  <si>
    <t>EF VS</t>
  </si>
  <si>
    <t>QSC</t>
  </si>
  <si>
    <t>18.0cm</t>
  </si>
  <si>
    <t>J260000066393</t>
  </si>
  <si>
    <t>1/5</t>
  </si>
  <si>
    <t>J260000049964</t>
  </si>
  <si>
    <t>1/4</t>
  </si>
  <si>
    <t>CZZ</t>
  </si>
  <si>
    <t>J250000048217</t>
  </si>
  <si>
    <t>EF VVS-VS</t>
  </si>
  <si>
    <t>CSC</t>
  </si>
  <si>
    <t>17 Inch</t>
  </si>
  <si>
    <t>Full Straight Necklace</t>
  </si>
  <si>
    <t>J240000122222</t>
  </si>
  <si>
    <t>EFG VS-SI</t>
  </si>
  <si>
    <t>CQSC</t>
  </si>
  <si>
    <t>Cts : 20.80 /Pcs : 113</t>
  </si>
  <si>
    <t>70% Graduation Necklace Rounds</t>
  </si>
  <si>
    <t>J250000119838</t>
  </si>
  <si>
    <t>1ct</t>
  </si>
  <si>
    <t xml:space="preserve">EF VS-SI </t>
  </si>
  <si>
    <t>UDSC</t>
  </si>
  <si>
    <t>Cts : 11.67 / Pcs : 107</t>
  </si>
  <si>
    <t>50</t>
  </si>
  <si>
    <t>XCZ</t>
  </si>
  <si>
    <t>12 inch Dia + 5 Inch Gold=17 Inch</t>
  </si>
  <si>
    <t>45-49</t>
  </si>
  <si>
    <t>XZZ</t>
  </si>
  <si>
    <t>CXCC</t>
  </si>
  <si>
    <t>1/3</t>
  </si>
  <si>
    <t>+12-14</t>
  </si>
  <si>
    <t>QDC</t>
  </si>
  <si>
    <t>+11-12</t>
  </si>
  <si>
    <t>QUC</t>
  </si>
  <si>
    <t>+8-11</t>
  </si>
  <si>
    <t>TZZ</t>
  </si>
  <si>
    <t>+6.50-8</t>
  </si>
  <si>
    <t>DHZ</t>
  </si>
  <si>
    <t>Full Graduation Necklace</t>
  </si>
  <si>
    <t>J250000161740</t>
  </si>
  <si>
    <t>90</t>
  </si>
  <si>
    <t>NCZ</t>
  </si>
  <si>
    <t>Cts : 14.11/ Pcs : 151</t>
  </si>
  <si>
    <t>1/2</t>
  </si>
  <si>
    <t>3/8</t>
  </si>
  <si>
    <t>QCZ</t>
  </si>
  <si>
    <t>+11-11.50</t>
  </si>
  <si>
    <t>(1+2+3+4)</t>
  </si>
  <si>
    <t>Note : Orignal Certificates issued.</t>
  </si>
  <si>
    <t>Consignment Packing List of Abida Jewellery LLC (Memo No 0764 - Dated : 03 July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</si>
</sst>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&quot;$&quot;#,##0.00"/>
    <numFmt numFmtId="166" formatCode="#,##0.000"/>
    <numFmt numFmtId="167" formatCode="[$$-1009]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mbria"/>
      <family val="1"/>
    </font>
    <font>
      <sz val="10"/>
      <color theme="1"/>
      <name val="Cambria"/>
      <family val="1"/>
    </font>
    <font>
      <b/>
      <sz val="9"/>
      <name val="Cambria"/>
      <family val="1"/>
    </font>
    <font>
      <sz val="9"/>
      <name val="Cambria"/>
      <family val="1"/>
    </font>
    <font>
      <sz val="9"/>
      <color theme="1" tint="4.9989318521683403E-2"/>
      <name val="Cambria"/>
      <family val="1"/>
    </font>
    <font>
      <u/>
      <sz val="9"/>
      <color rgb="FF0070C0"/>
      <name val="Cambria"/>
      <family val="1"/>
    </font>
    <font>
      <b/>
      <sz val="9"/>
      <color theme="1" tint="4.9989318521683403E-2"/>
      <name val="Cambria"/>
      <family val="1"/>
    </font>
    <font>
      <b/>
      <sz val="9"/>
      <color rgb="FF00B050"/>
      <name val="Cambria"/>
      <family val="1"/>
    </font>
    <font>
      <sz val="9"/>
      <color rgb="FF00B050"/>
      <name val="Cambria"/>
      <family val="1"/>
    </font>
    <font>
      <u/>
      <sz val="9"/>
      <color indexed="12"/>
      <name val="Cambria"/>
      <family val="1"/>
    </font>
    <font>
      <b/>
      <sz val="9"/>
      <color theme="1"/>
      <name val="Cambria"/>
      <family val="1"/>
    </font>
    <font>
      <u/>
      <sz val="9"/>
      <color theme="10"/>
      <name val="Cambria"/>
      <family val="1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154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49" fontId="5" fillId="0" borderId="5" xfId="0" applyNumberFormat="1" applyFont="1" applyBorder="1" applyAlignment="1" applyProtection="1">
      <alignment horizontal="center" vertical="center"/>
      <protection locked="0"/>
    </xf>
    <xf numFmtId="164" fontId="5" fillId="0" borderId="5" xfId="0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165" fontId="5" fillId="0" borderId="5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 applyProtection="1">
      <alignment horizontal="center" vertical="center"/>
      <protection locked="0"/>
    </xf>
    <xf numFmtId="2" fontId="5" fillId="0" borderId="5" xfId="0" applyNumberFormat="1" applyFont="1" applyBorder="1" applyAlignment="1" applyProtection="1">
      <alignment horizontal="center" vertical="center"/>
      <protection locked="0"/>
    </xf>
    <xf numFmtId="4" fontId="5" fillId="0" borderId="5" xfId="0" applyNumberFormat="1" applyFont="1" applyBorder="1" applyAlignment="1" applyProtection="1">
      <alignment horizontal="center" vertical="center"/>
      <protection locked="0"/>
    </xf>
    <xf numFmtId="165" fontId="5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 applyProtection="1">
      <alignment horizontal="left" vertical="center"/>
      <protection locked="0"/>
    </xf>
    <xf numFmtId="0" fontId="8" fillId="0" borderId="8" xfId="1" applyFont="1" applyFill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49" fontId="6" fillId="0" borderId="8" xfId="0" applyNumberFormat="1" applyFont="1" applyBorder="1" applyAlignment="1" applyProtection="1">
      <alignment horizontal="left" vertical="center"/>
      <protection locked="0"/>
    </xf>
    <xf numFmtId="164" fontId="7" fillId="0" borderId="8" xfId="0" applyNumberFormat="1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vertical="center"/>
      <protection locked="0"/>
    </xf>
    <xf numFmtId="165" fontId="9" fillId="0" borderId="8" xfId="0" applyNumberFormat="1" applyFont="1" applyBorder="1" applyAlignment="1" applyProtection="1">
      <alignment horizontal="center" vertical="center"/>
      <protection locked="0"/>
    </xf>
    <xf numFmtId="165" fontId="6" fillId="0" borderId="8" xfId="0" applyNumberFormat="1" applyFont="1" applyBorder="1" applyAlignment="1">
      <alignment horizontal="center" vertical="center"/>
    </xf>
    <xf numFmtId="165" fontId="6" fillId="0" borderId="8" xfId="0" applyNumberFormat="1" applyFont="1" applyBorder="1" applyAlignment="1" applyProtection="1">
      <alignment horizontal="center" vertical="center"/>
      <protection locked="0"/>
    </xf>
    <xf numFmtId="2" fontId="6" fillId="0" borderId="8" xfId="0" applyNumberFormat="1" applyFont="1" applyBorder="1" applyAlignment="1" applyProtection="1">
      <alignment horizontal="center" vertical="center"/>
      <protection locked="0"/>
    </xf>
    <xf numFmtId="166" fontId="6" fillId="0" borderId="8" xfId="0" applyNumberFormat="1" applyFont="1" applyBorder="1" applyAlignment="1" applyProtection="1">
      <alignment horizontal="center" vertical="center"/>
      <protection locked="0"/>
    </xf>
    <xf numFmtId="165" fontId="10" fillId="0" borderId="9" xfId="0" applyNumberFormat="1" applyFont="1" applyBorder="1" applyAlignment="1">
      <alignment horizontal="center" vertical="center"/>
    </xf>
    <xf numFmtId="0" fontId="6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center" vertical="center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11" xfId="1" applyFont="1" applyFill="1" applyBorder="1" applyAlignment="1" applyProtection="1">
      <alignment horizontal="left" vertical="center"/>
      <protection locked="0"/>
    </xf>
    <xf numFmtId="49" fontId="6" fillId="0" borderId="11" xfId="0" applyNumberFormat="1" applyFont="1" applyBorder="1" applyAlignment="1" applyProtection="1">
      <alignment horizontal="left" vertical="center"/>
      <protection locked="0"/>
    </xf>
    <xf numFmtId="164" fontId="7" fillId="0" borderId="11" xfId="0" applyNumberFormat="1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2" fontId="6" fillId="0" borderId="11" xfId="0" applyNumberFormat="1" applyFont="1" applyBorder="1" applyAlignment="1" applyProtection="1">
      <alignment horizontal="center" vertical="center"/>
      <protection locked="0"/>
    </xf>
    <xf numFmtId="2" fontId="5" fillId="0" borderId="11" xfId="0" applyNumberFormat="1" applyFont="1" applyBorder="1" applyAlignment="1" applyProtection="1">
      <alignment horizontal="left" vertical="center"/>
      <protection locked="0"/>
    </xf>
    <xf numFmtId="2" fontId="5" fillId="0" borderId="11" xfId="0" applyNumberFormat="1" applyFont="1" applyBorder="1" applyAlignment="1" applyProtection="1">
      <alignment horizontal="center" vertical="center"/>
      <protection locked="0"/>
    </xf>
    <xf numFmtId="165" fontId="6" fillId="0" borderId="11" xfId="0" applyNumberFormat="1" applyFont="1" applyBorder="1" applyAlignment="1">
      <alignment horizontal="center" vertical="center"/>
    </xf>
    <xf numFmtId="165" fontId="6" fillId="0" borderId="11" xfId="0" applyNumberFormat="1" applyFont="1" applyBorder="1" applyAlignment="1" applyProtection="1">
      <alignment horizontal="center" vertical="center"/>
      <protection locked="0"/>
    </xf>
    <xf numFmtId="4" fontId="6" fillId="0" borderId="11" xfId="0" applyNumberFormat="1" applyFont="1" applyBorder="1" applyAlignment="1" applyProtection="1">
      <alignment horizontal="center" vertical="center"/>
      <protection locked="0"/>
    </xf>
    <xf numFmtId="165" fontId="11" fillId="0" borderId="12" xfId="0" applyNumberFormat="1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 applyProtection="1">
      <alignment horizontal="left" vertical="center"/>
      <protection locked="0"/>
    </xf>
    <xf numFmtId="0" fontId="12" fillId="0" borderId="14" xfId="1" applyFont="1" applyFill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49" fontId="6" fillId="0" borderId="14" xfId="0" applyNumberFormat="1" applyFont="1" applyBorder="1" applyAlignment="1" applyProtection="1">
      <alignment horizontal="left" vertical="center"/>
      <protection locked="0"/>
    </xf>
    <xf numFmtId="164" fontId="7" fillId="0" borderId="14" xfId="0" applyNumberFormat="1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vertical="center"/>
      <protection locked="0"/>
    </xf>
    <xf numFmtId="165" fontId="9" fillId="0" borderId="14" xfId="0" applyNumberFormat="1" applyFont="1" applyBorder="1" applyAlignment="1" applyProtection="1">
      <alignment horizontal="center" vertical="center"/>
      <protection locked="0"/>
    </xf>
    <xf numFmtId="165" fontId="6" fillId="0" borderId="14" xfId="0" applyNumberFormat="1" applyFont="1" applyBorder="1" applyAlignment="1">
      <alignment horizontal="center" vertical="center"/>
    </xf>
    <xf numFmtId="165" fontId="6" fillId="0" borderId="14" xfId="0" applyNumberFormat="1" applyFont="1" applyBorder="1" applyAlignment="1" applyProtection="1">
      <alignment horizontal="center" vertical="center"/>
      <protection locked="0"/>
    </xf>
    <xf numFmtId="2" fontId="6" fillId="0" borderId="14" xfId="0" applyNumberFormat="1" applyFont="1" applyBorder="1" applyAlignment="1" applyProtection="1">
      <alignment horizontal="center" vertical="center"/>
      <protection locked="0"/>
    </xf>
    <xf numFmtId="4" fontId="6" fillId="0" borderId="14" xfId="0" applyNumberFormat="1" applyFont="1" applyBorder="1" applyAlignment="1" applyProtection="1">
      <alignment horizontal="center" vertical="center"/>
      <protection locked="0"/>
    </xf>
    <xf numFmtId="165" fontId="10" fillId="0" borderId="15" xfId="0" applyNumberFormat="1" applyFont="1" applyBorder="1" applyAlignment="1">
      <alignment horizontal="center" vertical="center"/>
    </xf>
    <xf numFmtId="0" fontId="6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>
      <alignment horizontal="center" vertical="center"/>
    </xf>
    <xf numFmtId="0" fontId="7" fillId="0" borderId="17" xfId="0" applyFont="1" applyBorder="1" applyAlignment="1" applyProtection="1">
      <alignment horizontal="left" vertical="center"/>
      <protection locked="0"/>
    </xf>
    <xf numFmtId="0" fontId="12" fillId="0" borderId="17" xfId="1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49" fontId="6" fillId="0" borderId="17" xfId="0" applyNumberFormat="1" applyFont="1" applyBorder="1" applyAlignment="1" applyProtection="1">
      <alignment horizontal="left" vertical="center"/>
      <protection locked="0"/>
    </xf>
    <xf numFmtId="164" fontId="7" fillId="0" borderId="17" xfId="0" applyNumberFormat="1" applyFont="1" applyBorder="1" applyAlignment="1" applyProtection="1">
      <alignment horizontal="center" vertical="center"/>
      <protection locked="0"/>
    </xf>
    <xf numFmtId="2" fontId="6" fillId="0" borderId="17" xfId="0" applyNumberFormat="1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165" fontId="9" fillId="0" borderId="17" xfId="0" applyNumberFormat="1" applyFont="1" applyBorder="1" applyAlignment="1" applyProtection="1">
      <alignment horizontal="center" vertical="center"/>
      <protection locked="0"/>
    </xf>
    <xf numFmtId="165" fontId="6" fillId="0" borderId="17" xfId="0" applyNumberFormat="1" applyFont="1" applyBorder="1" applyAlignment="1">
      <alignment horizontal="center" vertical="center"/>
    </xf>
    <xf numFmtId="165" fontId="6" fillId="0" borderId="17" xfId="0" applyNumberFormat="1" applyFont="1" applyBorder="1" applyAlignment="1" applyProtection="1">
      <alignment horizontal="center" vertical="center"/>
      <protection locked="0"/>
    </xf>
    <xf numFmtId="166" fontId="6" fillId="0" borderId="17" xfId="0" applyNumberFormat="1" applyFont="1" applyBorder="1" applyAlignment="1" applyProtection="1">
      <alignment horizontal="center" vertical="center"/>
      <protection locked="0"/>
    </xf>
    <xf numFmtId="165" fontId="10" fillId="0" borderId="18" xfId="0" applyNumberFormat="1" applyFont="1" applyBorder="1" applyAlignment="1">
      <alignment horizontal="center" vertical="center"/>
    </xf>
    <xf numFmtId="0" fontId="6" fillId="0" borderId="19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>
      <alignment horizontal="center" vertical="center"/>
    </xf>
    <xf numFmtId="0" fontId="6" fillId="0" borderId="20" xfId="0" applyFont="1" applyBorder="1" applyAlignment="1" applyProtection="1">
      <alignment horizontal="left" vertical="center"/>
      <protection locked="0"/>
    </xf>
    <xf numFmtId="0" fontId="6" fillId="0" borderId="20" xfId="1" applyFont="1" applyFill="1" applyBorder="1" applyAlignment="1" applyProtection="1">
      <alignment horizontal="left" vertical="center"/>
      <protection locked="0"/>
    </xf>
    <xf numFmtId="49" fontId="6" fillId="0" borderId="20" xfId="0" applyNumberFormat="1" applyFont="1" applyBorder="1" applyAlignment="1" applyProtection="1">
      <alignment horizontal="left" vertical="center"/>
      <protection locked="0"/>
    </xf>
    <xf numFmtId="164" fontId="7" fillId="0" borderId="20" xfId="0" applyNumberFormat="1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2" fontId="6" fillId="0" borderId="20" xfId="0" applyNumberFormat="1" applyFont="1" applyBorder="1" applyAlignment="1" applyProtection="1">
      <alignment horizontal="center" vertical="center"/>
      <protection locked="0"/>
    </xf>
    <xf numFmtId="2" fontId="5" fillId="0" borderId="20" xfId="0" applyNumberFormat="1" applyFont="1" applyBorder="1" applyAlignment="1" applyProtection="1">
      <alignment horizontal="left" vertical="center"/>
      <protection locked="0"/>
    </xf>
    <xf numFmtId="2" fontId="5" fillId="0" borderId="20" xfId="0" applyNumberFormat="1" applyFont="1" applyBorder="1" applyAlignment="1" applyProtection="1">
      <alignment horizontal="center" vertical="center"/>
      <protection locked="0"/>
    </xf>
    <xf numFmtId="165" fontId="6" fillId="0" borderId="20" xfId="0" applyNumberFormat="1" applyFont="1" applyBorder="1" applyAlignment="1">
      <alignment horizontal="center" vertical="center"/>
    </xf>
    <xf numFmtId="165" fontId="6" fillId="0" borderId="20" xfId="0" applyNumberFormat="1" applyFont="1" applyBorder="1" applyAlignment="1" applyProtection="1">
      <alignment horizontal="center" vertical="center"/>
      <protection locked="0"/>
    </xf>
    <xf numFmtId="4" fontId="6" fillId="0" borderId="20" xfId="0" applyNumberFormat="1" applyFont="1" applyBorder="1" applyAlignment="1" applyProtection="1">
      <alignment horizontal="center" vertical="center"/>
      <protection locked="0"/>
    </xf>
    <xf numFmtId="165" fontId="11" fillId="0" borderId="21" xfId="0" applyNumberFormat="1" applyFont="1" applyBorder="1" applyAlignment="1" applyProtection="1">
      <alignment horizontal="center" vertical="center"/>
      <protection locked="0"/>
    </xf>
    <xf numFmtId="49" fontId="7" fillId="0" borderId="14" xfId="0" applyNumberFormat="1" applyFont="1" applyBorder="1" applyAlignment="1" applyProtection="1">
      <alignment horizontal="left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49" fontId="7" fillId="0" borderId="17" xfId="0" applyNumberFormat="1" applyFont="1" applyBorder="1" applyAlignment="1" applyProtection="1">
      <alignment horizontal="left" vertical="center"/>
      <protection locked="0"/>
    </xf>
    <xf numFmtId="1" fontId="7" fillId="0" borderId="17" xfId="0" applyNumberFormat="1" applyFont="1" applyBorder="1" applyAlignment="1" applyProtection="1">
      <alignment horizontal="center" vertical="center"/>
      <protection locked="0"/>
    </xf>
    <xf numFmtId="2" fontId="7" fillId="0" borderId="17" xfId="0" applyNumberFormat="1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3" fillId="0" borderId="19" xfId="0" applyFont="1" applyBorder="1"/>
    <xf numFmtId="0" fontId="3" fillId="0" borderId="20" xfId="0" applyFont="1" applyBorder="1"/>
    <xf numFmtId="0" fontId="3" fillId="0" borderId="20" xfId="0" applyFont="1" applyBorder="1" applyAlignment="1">
      <alignment horizontal="left"/>
    </xf>
    <xf numFmtId="0" fontId="13" fillId="0" borderId="20" xfId="0" applyFont="1" applyBorder="1"/>
    <xf numFmtId="0" fontId="11" fillId="0" borderId="21" xfId="0" applyFont="1" applyBorder="1"/>
    <xf numFmtId="0" fontId="6" fillId="0" borderId="22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center" vertical="center"/>
    </xf>
    <xf numFmtId="0" fontId="6" fillId="0" borderId="14" xfId="0" applyFont="1" applyBorder="1" applyAlignment="1" applyProtection="1">
      <alignment horizontal="left" vertical="center"/>
      <protection locked="0"/>
    </xf>
    <xf numFmtId="2" fontId="5" fillId="0" borderId="14" xfId="0" applyNumberFormat="1" applyFont="1" applyBorder="1" applyAlignment="1" applyProtection="1">
      <alignment horizontal="left" vertical="center"/>
      <protection locked="0"/>
    </xf>
    <xf numFmtId="167" fontId="5" fillId="0" borderId="14" xfId="0" applyNumberFormat="1" applyFont="1" applyBorder="1" applyAlignment="1" applyProtection="1">
      <alignment horizontal="center" vertical="center"/>
      <protection locked="0"/>
    </xf>
    <xf numFmtId="165" fontId="10" fillId="0" borderId="23" xfId="0" applyNumberFormat="1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" fillId="0" borderId="17" xfId="0" applyFont="1" applyBorder="1"/>
    <xf numFmtId="0" fontId="5" fillId="0" borderId="17" xfId="2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 applyProtection="1">
      <alignment horizontal="left" vertical="center"/>
      <protection locked="0"/>
    </xf>
    <xf numFmtId="164" fontId="6" fillId="0" borderId="17" xfId="0" applyNumberFormat="1" applyFont="1" applyBorder="1" applyAlignment="1" applyProtection="1">
      <alignment horizontal="center" vertical="center"/>
      <protection locked="0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167" fontId="5" fillId="0" borderId="17" xfId="0" applyNumberFormat="1" applyFont="1" applyBorder="1" applyAlignment="1" applyProtection="1">
      <alignment horizontal="center" vertical="center"/>
      <protection locked="0"/>
    </xf>
    <xf numFmtId="4" fontId="6" fillId="0" borderId="17" xfId="0" applyNumberFormat="1" applyFont="1" applyBorder="1" applyAlignment="1" applyProtection="1">
      <alignment horizontal="center" vertical="center"/>
      <protection locked="0"/>
    </xf>
    <xf numFmtId="165" fontId="11" fillId="0" borderId="25" xfId="0" applyNumberFormat="1" applyFont="1" applyBorder="1" applyAlignment="1" applyProtection="1">
      <alignment horizontal="center" vertical="center"/>
      <protection locked="0"/>
    </xf>
    <xf numFmtId="0" fontId="6" fillId="0" borderId="20" xfId="2" applyFont="1" applyBorder="1" applyAlignment="1" applyProtection="1">
      <alignment horizontal="left" vertical="center"/>
      <protection locked="0"/>
    </xf>
    <xf numFmtId="164" fontId="6" fillId="0" borderId="20" xfId="0" applyNumberFormat="1" applyFont="1" applyBorder="1" applyAlignment="1" applyProtection="1">
      <alignment horizontal="center" vertical="center"/>
      <protection locked="0"/>
    </xf>
    <xf numFmtId="167" fontId="5" fillId="0" borderId="20" xfId="0" applyNumberFormat="1" applyFont="1" applyBorder="1" applyAlignment="1" applyProtection="1">
      <alignment horizontal="center" vertical="center"/>
      <protection locked="0"/>
    </xf>
    <xf numFmtId="0" fontId="14" fillId="0" borderId="14" xfId="1" applyFont="1" applyFill="1" applyBorder="1" applyAlignment="1" applyProtection="1">
      <alignment horizontal="center" vertical="center"/>
      <protection locked="0"/>
    </xf>
    <xf numFmtId="165" fontId="11" fillId="0" borderId="23" xfId="0" applyNumberFormat="1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3" fillId="0" borderId="27" xfId="0" applyFont="1" applyBorder="1"/>
    <xf numFmtId="0" fontId="5" fillId="0" borderId="27" xfId="0" applyFont="1" applyBorder="1" applyAlignment="1" applyProtection="1">
      <alignment horizontal="left" vertical="center"/>
      <protection locked="0"/>
    </xf>
    <xf numFmtId="0" fontId="6" fillId="0" borderId="27" xfId="0" applyFont="1" applyBorder="1" applyAlignment="1" applyProtection="1">
      <alignment horizontal="left" vertical="center"/>
      <protection locked="0"/>
    </xf>
    <xf numFmtId="49" fontId="6" fillId="0" borderId="27" xfId="0" applyNumberFormat="1" applyFont="1" applyBorder="1" applyAlignment="1" applyProtection="1">
      <alignment horizontal="left" vertical="center"/>
      <protection locked="0"/>
    </xf>
    <xf numFmtId="164" fontId="7" fillId="0" borderId="27" xfId="0" applyNumberFormat="1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2" fontId="6" fillId="0" borderId="27" xfId="0" applyNumberFormat="1" applyFont="1" applyBorder="1" applyAlignment="1" applyProtection="1">
      <alignment horizontal="center" vertical="center"/>
      <protection locked="0"/>
    </xf>
    <xf numFmtId="2" fontId="5" fillId="0" borderId="27" xfId="0" applyNumberFormat="1" applyFont="1" applyBorder="1" applyAlignment="1" applyProtection="1">
      <alignment horizontal="left" vertical="center"/>
      <protection locked="0"/>
    </xf>
    <xf numFmtId="167" fontId="5" fillId="0" borderId="27" xfId="0" applyNumberFormat="1" applyFont="1" applyBorder="1" applyAlignment="1" applyProtection="1">
      <alignment horizontal="center" vertical="center"/>
      <protection locked="0"/>
    </xf>
    <xf numFmtId="165" fontId="6" fillId="0" borderId="27" xfId="0" applyNumberFormat="1" applyFont="1" applyBorder="1" applyAlignment="1">
      <alignment horizontal="center" vertical="center"/>
    </xf>
    <xf numFmtId="165" fontId="6" fillId="0" borderId="27" xfId="0" applyNumberFormat="1" applyFont="1" applyBorder="1" applyAlignment="1" applyProtection="1">
      <alignment horizontal="center" vertical="center"/>
      <protection locked="0"/>
    </xf>
    <xf numFmtId="4" fontId="6" fillId="0" borderId="27" xfId="0" applyNumberFormat="1" applyFont="1" applyBorder="1" applyAlignment="1" applyProtection="1">
      <alignment horizontal="center" vertical="center"/>
      <protection locked="0"/>
    </xf>
    <xf numFmtId="165" fontId="11" fillId="0" borderId="28" xfId="0" applyNumberFormat="1" applyFont="1" applyBorder="1" applyAlignment="1" applyProtection="1">
      <alignment horizontal="center" vertical="center"/>
      <protection locked="0"/>
    </xf>
    <xf numFmtId="165" fontId="10" fillId="0" borderId="25" xfId="0" applyNumberFormat="1" applyFont="1" applyBorder="1" applyAlignment="1" applyProtection="1">
      <alignment horizontal="center" vertical="center"/>
      <protection locked="0"/>
    </xf>
    <xf numFmtId="166" fontId="6" fillId="0" borderId="20" xfId="0" applyNumberFormat="1" applyFont="1" applyBorder="1" applyAlignment="1" applyProtection="1">
      <alignment horizontal="center" vertical="center"/>
      <protection locked="0"/>
    </xf>
    <xf numFmtId="0" fontId="3" fillId="0" borderId="11" xfId="0" applyFont="1" applyBorder="1"/>
    <xf numFmtId="167" fontId="5" fillId="0" borderId="11" xfId="0" applyNumberFormat="1" applyFont="1" applyBorder="1" applyAlignment="1" applyProtection="1">
      <alignment horizontal="center" vertical="center"/>
      <protection locked="0"/>
    </xf>
    <xf numFmtId="166" fontId="6" fillId="0" borderId="11" xfId="0" applyNumberFormat="1" applyFont="1" applyBorder="1" applyAlignment="1" applyProtection="1">
      <alignment horizontal="center" vertical="center"/>
      <protection locked="0"/>
    </xf>
    <xf numFmtId="165" fontId="10" fillId="0" borderId="12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/>
    <xf numFmtId="0" fontId="6" fillId="0" borderId="5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2" fontId="6" fillId="0" borderId="5" xfId="0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165" fontId="6" fillId="0" borderId="5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 applyProtection="1">
      <alignment horizontal="center" vertical="center"/>
      <protection locked="0"/>
    </xf>
    <xf numFmtId="165" fontId="6" fillId="0" borderId="5" xfId="0" applyNumberFormat="1" applyFont="1" applyBorder="1" applyAlignment="1" applyProtection="1">
      <alignment horizontal="center" vertical="center"/>
      <protection locked="0"/>
    </xf>
    <xf numFmtId="165" fontId="10" fillId="0" borderId="6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</cellXfs>
  <cellStyles count="3">
    <cellStyle name="Hyperlink" xfId="1" builtinId="8"/>
    <cellStyle name="Normal" xfId="0" builtinId="0"/>
    <cellStyle name="Normal 3" xfId="2" xr:uid="{01F5F95C-A279-4FCE-98CD-B5E9D701B520}"/>
  </cellStyles>
  <dxfs count="46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B050"/>
        <name val="Cambria"/>
        <family val="1"/>
        <scheme val="none"/>
      </font>
      <numFmt numFmtId="165" formatCode="&quot;$&quot;#,##0.00"/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5" formatCode="&quot;$&quot;#,##0.00"/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5" formatCode="&quot;$&quot;#,##0.00"/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5" formatCode="&quot;$&quot;#,##0.00"/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5" formatCode="&quot;$&quot;#,##0.00"/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medium">
          <color indexed="64"/>
        </top>
        <bottom style="medium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left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4.9989318521683403E-2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left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left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left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left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mbria"/>
        <family val="1"/>
        <scheme val="none"/>
      </font>
      <border diagonalUp="0" diagonalDown="0" outline="0">
        <left style="hair">
          <color auto="1"/>
        </left>
        <right style="hair">
          <color auto="1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hair">
          <color auto="1"/>
        </right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B050"/>
        <name val="Cambria"/>
        <family val="1"/>
        <scheme val="none"/>
      </font>
      <numFmt numFmtId="165" formatCode="&quot;$&quot;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/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5" formatCode="&quot;$&quot;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5" formatCode="&quot;$&quot;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5" formatCode="&quot;$&quot;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5" formatCode="&quot;$&quot;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5" formatCode="&quot;$&quot;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4.9989318521683403E-2"/>
        <name val="Cambria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mbria"/>
        <family val="1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border>
        <top style="medium">
          <color rgb="FF000000"/>
        </top>
      </border>
    </dxf>
    <dxf>
      <border>
        <bottom style="medium">
          <color rgb="FF00000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numFmt numFmtId="165" formatCode="&quot;$&quot;#,##0.0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5" formatCode="&quot;$&quot;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338667</xdr:colOff>
      <xdr:row>5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223E6B2-1BA7-46B2-BFC2-F979F92BC8FF}"/>
            </a:ext>
          </a:extLst>
        </xdr:cNvPr>
        <xdr:cNvSpPr txBox="1"/>
      </xdr:nvSpPr>
      <xdr:spPr>
        <a:xfrm>
          <a:off x="1237827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AE" sz="1100"/>
        </a:p>
      </xdr:txBody>
    </xdr:sp>
    <xdr:clientData/>
  </xdr:oneCellAnchor>
  <xdr:oneCellAnchor>
    <xdr:from>
      <xdr:col>3</xdr:col>
      <xdr:colOff>338667</xdr:colOff>
      <xdr:row>15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F21644C-D207-4C9E-A196-646FEBDCFA86}"/>
            </a:ext>
          </a:extLst>
        </xdr:cNvPr>
        <xdr:cNvSpPr txBox="1"/>
      </xdr:nvSpPr>
      <xdr:spPr>
        <a:xfrm>
          <a:off x="2929467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AE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29427C-0936-4FBF-9845-ECF6A2BF4E8E}" name="Table13" displayName="Table13" ref="A4:T39" totalsRowCount="1" headerRowDxfId="45" dataDxfId="44" totalsRowDxfId="43" headerRowBorderDxfId="41" tableBorderDxfId="42" totalsRowBorderDxfId="40">
  <autoFilter ref="A4:T38" xr:uid="{8D3514D7-E979-4B09-8537-A57C2F883117}"/>
  <tableColumns count="20">
    <tableColumn id="1" xr3:uid="{65E362E7-FCAA-4BAF-B94A-26AA9106D30A}" name="Sr" totalsRowFunction="count" dataDxfId="39" totalsRowDxfId="19"/>
    <tableColumn id="2" xr3:uid="{5E70E03E-596D-49D5-BF1B-41FC38243942}" name="Length" dataDxfId="38" totalsRowDxfId="18"/>
    <tableColumn id="3" xr3:uid="{F51ACF57-597C-4479-9394-D9D2AF04E77F}" name="ITEM" dataDxfId="37" totalsRowDxfId="17"/>
    <tableColumn id="4" xr3:uid="{315730DC-C782-4210-BAC2-F800C6AB1F3A}" name="LAB" dataDxfId="36" totalsRowDxfId="16"/>
    <tableColumn id="5" xr3:uid="{5A34B3D5-E11D-490E-A3D1-E104B2C40092}" name="Cert Number" dataDxfId="35" totalsRowDxfId="15"/>
    <tableColumn id="6" xr3:uid="{34AE6D4D-A97A-4FB8-9BF9-3FF0DE5CF4F8}" name="Size Avg." dataDxfId="34" totalsRowDxfId="14"/>
    <tableColumn id="7" xr3:uid="{1AD331C9-67F6-4B5B-B306-2CC34ABC32BB}" name="Avg Pts" dataDxfId="33" totalsRowDxfId="13">
      <calculatedColumnFormula>I5/H5</calculatedColumnFormula>
    </tableColumn>
    <tableColumn id="8" xr3:uid="{C63910AD-E153-42CE-A690-2DA1728A9EED}" name="No.Pcs" totalsRowFunction="sum" dataDxfId="32" totalsRowDxfId="12"/>
    <tableColumn id="9" xr3:uid="{0C0D517A-74B8-4A6E-828E-165F27535183}" name="Diam Cts" totalsRowFunction="sum" dataDxfId="31" totalsRowDxfId="11"/>
    <tableColumn id="10" xr3:uid="{C70E337A-EF8D-4177-808A-9C544F2DA113}" name="Col - Clarity" dataDxfId="30" totalsRowDxfId="10"/>
    <tableColumn id="11" xr3:uid="{DC0F5025-9810-4BFC-8F42-2ED71B4F415C}" name="LOT" dataDxfId="29" totalsRowDxfId="9"/>
    <tableColumn id="12" xr3:uid="{7FE7D7B1-E079-47D8-A147-565F5865BBAB}" name="Per/ct" dataDxfId="28" totalsRowDxfId="8"/>
    <tableColumn id="13" xr3:uid="{A393D95E-50DE-4239-A462-71D3BE88E4A9}" name="Diam Total" totalsRowFunction="sum" dataDxfId="27" totalsRowDxfId="7">
      <calculatedColumnFormula>L5*I5</calculatedColumnFormula>
    </tableColumn>
    <tableColumn id="14" xr3:uid="{DEBF8BBF-04E7-4522-BCD7-CBA3C86FAE5B}" name="Gold+Lab" dataDxfId="26" totalsRowDxfId="6"/>
    <tableColumn id="15" xr3:uid="{2DCCB374-0720-445F-AF08-5C7809BDFFE8}" name="Gross Gm" totalsRowFunction="sum" dataDxfId="25" totalsRowDxfId="5"/>
    <tableColumn id="16" xr3:uid="{C2258B98-7A72-4C8B-BF7C-C3E6186FA207}" name="Net Gm" totalsRowFunction="sum" dataDxfId="24" totalsRowDxfId="4"/>
    <tableColumn id="17" xr3:uid="{A2E6FEAF-9207-4BF0-B33C-C9C722356046}" name="Gold Total" totalsRowFunction="sum" dataDxfId="23" totalsRowDxfId="3"/>
    <tableColumn id="18" xr3:uid="{A1DCEA71-6568-4E9C-82D9-FA3341EB3EEB}" name="Diam Settg" totalsRowFunction="sum" dataDxfId="22" totalsRowDxfId="2"/>
    <tableColumn id="19" xr3:uid="{A2F9BD4D-8B0F-4A42-839A-E6B96CCD0EF1}" name="Cert Exp" totalsRowFunction="sum" dataDxfId="21" totalsRowDxfId="1"/>
    <tableColumn id="20" xr3:uid="{C40B0C7D-D212-49CE-A62F-D8A90273DE12}" name="Total Amt $" totalsRowFunction="sum" dataDxfId="20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ntonia.aspgulf.net/certificate/J250000048217%20EF%20VVS-VS%2010.90ct.pdf" TargetMode="External"/><Relationship Id="rId3" Type="http://schemas.openxmlformats.org/officeDocument/2006/relationships/hyperlink" Target="https://antonia.aspgulf.net/certificate/J260000049964-42p-9.70ct.pdf" TargetMode="External"/><Relationship Id="rId7" Type="http://schemas.openxmlformats.org/officeDocument/2006/relationships/hyperlink" Target="https://antonia.aspgulf.net/certificate/J260000066393%20EF%20VS-SI%208.48ct.pdf" TargetMode="External"/><Relationship Id="rId2" Type="http://schemas.openxmlformats.org/officeDocument/2006/relationships/hyperlink" Target="https://antonia.aspgulf.net/certificate/J260000049963-47p-8.25ct.pdf" TargetMode="External"/><Relationship Id="rId1" Type="http://schemas.openxmlformats.org/officeDocument/2006/relationships/hyperlink" Target="https://antonia.aspgulf.net/certificate/J260000105039%20EF%20VS-SI%205.85ct.pdf" TargetMode="External"/><Relationship Id="rId6" Type="http://schemas.openxmlformats.org/officeDocument/2006/relationships/hyperlink" Target="https://antonia.aspgulf.net/certificate/J250000161740%20151pcs-14.11ct.pdf" TargetMode="External"/><Relationship Id="rId11" Type="http://schemas.openxmlformats.org/officeDocument/2006/relationships/table" Target="../tables/table1.xml"/><Relationship Id="rId5" Type="http://schemas.openxmlformats.org/officeDocument/2006/relationships/hyperlink" Target="https://antonia.aspgulf.net/certificate/J250000119838%2011.67ct%20EF%20VS-SI.pdf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antonia.aspgulf.net/certificate/J240000122222%20E-G%20VS-SI%2020.80ct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FE233-8D04-4BE3-96F4-A01DFAFF7CD4}">
  <dimension ref="A1:T41"/>
  <sheetViews>
    <sheetView tabSelected="1" zoomScaleNormal="100" workbookViewId="0">
      <pane ySplit="4" topLeftCell="A5" activePane="bottomLeft" state="frozen"/>
      <selection pane="bottomLeft" activeCell="M33" sqref="M33"/>
    </sheetView>
  </sheetViews>
  <sheetFormatPr defaultRowHeight="16.95" customHeight="1" x14ac:dyDescent="0.2"/>
  <cols>
    <col min="1" max="1" width="4.5546875" style="1" customWidth="1"/>
    <col min="2" max="2" width="8.5546875" style="1" customWidth="1"/>
    <col min="3" max="3" width="24.6640625" style="1" bestFit="1" customWidth="1"/>
    <col min="4" max="4" width="6.6640625" style="1" customWidth="1"/>
    <col min="5" max="5" width="12.77734375" style="1" customWidth="1"/>
    <col min="6" max="6" width="9.6640625" style="1" customWidth="1"/>
    <col min="7" max="7" width="6.21875" style="1" customWidth="1"/>
    <col min="8" max="8" width="5.33203125" style="1" customWidth="1"/>
    <col min="9" max="9" width="6.88671875" style="1" customWidth="1"/>
    <col min="10" max="10" width="9.77734375" style="1" customWidth="1"/>
    <col min="11" max="11" width="6.44140625" style="1" customWidth="1"/>
    <col min="12" max="12" width="9" style="1" bestFit="1" customWidth="1"/>
    <col min="13" max="13" width="10.109375" style="1" customWidth="1"/>
    <col min="14" max="14" width="7.88671875" style="1" customWidth="1"/>
    <col min="15" max="15" width="8" style="1" customWidth="1"/>
    <col min="16" max="16" width="6.6640625" style="1" customWidth="1"/>
    <col min="17" max="17" width="11" style="1" customWidth="1"/>
    <col min="18" max="18" width="9.21875" style="1" customWidth="1"/>
    <col min="19" max="19" width="9" style="1" customWidth="1"/>
    <col min="20" max="20" width="11.5546875" style="1" customWidth="1"/>
    <col min="21" max="16384" width="8.88671875" style="1"/>
  </cols>
  <sheetData>
    <row r="1" spans="1:20" ht="16.95" customHeight="1" thickBot="1" x14ac:dyDescent="0.25"/>
    <row r="2" spans="1:20" ht="16.95" customHeight="1" thickBot="1" x14ac:dyDescent="0.25">
      <c r="A2" s="2" t="s">
        <v>81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1:20" ht="16.95" customHeight="1" thickBot="1" x14ac:dyDescent="0.25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</row>
    <row r="4" spans="1:20" ht="16.95" customHeight="1" thickBo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7" t="s">
        <v>6</v>
      </c>
      <c r="G4" s="8" t="s">
        <v>7</v>
      </c>
      <c r="H4" s="6" t="s">
        <v>8</v>
      </c>
      <c r="I4" s="6" t="s">
        <v>9</v>
      </c>
      <c r="J4" s="9" t="s">
        <v>10</v>
      </c>
      <c r="K4" s="6" t="s">
        <v>11</v>
      </c>
      <c r="L4" s="6" t="s">
        <v>12</v>
      </c>
      <c r="M4" s="10" t="s">
        <v>13</v>
      </c>
      <c r="N4" s="11" t="s">
        <v>14</v>
      </c>
      <c r="O4" s="12" t="s">
        <v>15</v>
      </c>
      <c r="P4" s="13" t="s">
        <v>16</v>
      </c>
      <c r="Q4" s="10" t="s">
        <v>17</v>
      </c>
      <c r="R4" s="10" t="s">
        <v>18</v>
      </c>
      <c r="S4" s="11" t="s">
        <v>19</v>
      </c>
      <c r="T4" s="14" t="s">
        <v>20</v>
      </c>
    </row>
    <row r="5" spans="1:20" ht="16.95" customHeight="1" x14ac:dyDescent="0.2">
      <c r="A5" s="15">
        <v>1</v>
      </c>
      <c r="B5" s="16" t="s">
        <v>21</v>
      </c>
      <c r="C5" s="17" t="s">
        <v>22</v>
      </c>
      <c r="D5" s="18" t="s">
        <v>23</v>
      </c>
      <c r="E5" s="19" t="s">
        <v>24</v>
      </c>
      <c r="F5" s="20" t="s">
        <v>25</v>
      </c>
      <c r="G5" s="21">
        <f>I5/H5</f>
        <v>0.10086206896551723</v>
      </c>
      <c r="H5" s="22">
        <v>58</v>
      </c>
      <c r="I5" s="22">
        <v>5.85</v>
      </c>
      <c r="J5" s="23" t="s">
        <v>26</v>
      </c>
      <c r="K5" s="22" t="s">
        <v>27</v>
      </c>
      <c r="L5" s="24">
        <v>460</v>
      </c>
      <c r="M5" s="25">
        <f>L5*I5</f>
        <v>2691</v>
      </c>
      <c r="N5" s="26">
        <v>124.5</v>
      </c>
      <c r="O5" s="27">
        <v>9.16</v>
      </c>
      <c r="P5" s="28">
        <v>7.99</v>
      </c>
      <c r="Q5" s="25">
        <f>P5*N5</f>
        <v>994.755</v>
      </c>
      <c r="R5" s="25">
        <v>0</v>
      </c>
      <c r="S5" s="26">
        <f>20*I5</f>
        <v>117</v>
      </c>
      <c r="T5" s="29">
        <f>S5+R5+Q5+M5</f>
        <v>3802.7550000000001</v>
      </c>
    </row>
    <row r="6" spans="1:20" ht="16.95" customHeight="1" x14ac:dyDescent="0.2">
      <c r="A6" s="30"/>
      <c r="B6" s="31"/>
      <c r="C6" s="32"/>
      <c r="D6" s="33"/>
      <c r="E6" s="32"/>
      <c r="F6" s="34"/>
      <c r="G6" s="35"/>
      <c r="H6" s="36"/>
      <c r="I6" s="37"/>
      <c r="J6" s="38"/>
      <c r="K6" s="36"/>
      <c r="L6" s="39"/>
      <c r="M6" s="40"/>
      <c r="N6" s="41"/>
      <c r="O6" s="37"/>
      <c r="P6" s="42"/>
      <c r="Q6" s="41"/>
      <c r="R6" s="41"/>
      <c r="S6" s="41"/>
      <c r="T6" s="43"/>
    </row>
    <row r="7" spans="1:20" ht="16.95" customHeight="1" x14ac:dyDescent="0.2">
      <c r="A7" s="44">
        <v>2</v>
      </c>
      <c r="B7" s="45" t="s">
        <v>28</v>
      </c>
      <c r="C7" s="46" t="s">
        <v>29</v>
      </c>
      <c r="D7" s="47" t="s">
        <v>23</v>
      </c>
      <c r="E7" s="48" t="s">
        <v>30</v>
      </c>
      <c r="F7" s="49" t="s">
        <v>31</v>
      </c>
      <c r="G7" s="50">
        <f>I7/H7</f>
        <v>0.17553191489361702</v>
      </c>
      <c r="H7" s="48">
        <v>47</v>
      </c>
      <c r="I7" s="48">
        <v>8.25</v>
      </c>
      <c r="J7" s="51" t="s">
        <v>32</v>
      </c>
      <c r="K7" s="48" t="s">
        <v>33</v>
      </c>
      <c r="L7" s="52">
        <v>550</v>
      </c>
      <c r="M7" s="53">
        <f t="shared" ref="M7:M13" si="0">L7*I7</f>
        <v>4537.5</v>
      </c>
      <c r="N7" s="54">
        <v>124.5</v>
      </c>
      <c r="O7" s="55">
        <v>11.61</v>
      </c>
      <c r="P7" s="56">
        <v>9.9600000000000009</v>
      </c>
      <c r="Q7" s="53">
        <f t="shared" ref="Q7:Q13" si="1">P7*N7</f>
        <v>1240.0200000000002</v>
      </c>
      <c r="R7" s="53">
        <v>0</v>
      </c>
      <c r="S7" s="54">
        <f>20*I7</f>
        <v>165</v>
      </c>
      <c r="T7" s="57">
        <f t="shared" ref="T7:T11" si="2">S7+R7+Q7+M7</f>
        <v>5942.52</v>
      </c>
    </row>
    <row r="8" spans="1:20" ht="16.95" customHeight="1" x14ac:dyDescent="0.2">
      <c r="A8" s="58">
        <v>3</v>
      </c>
      <c r="B8" s="59" t="s">
        <v>34</v>
      </c>
      <c r="C8" s="60" t="s">
        <v>22</v>
      </c>
      <c r="D8" s="61" t="s">
        <v>23</v>
      </c>
      <c r="E8" s="62" t="s">
        <v>35</v>
      </c>
      <c r="F8" s="63" t="s">
        <v>36</v>
      </c>
      <c r="G8" s="64">
        <v>0.18042553191489363</v>
      </c>
      <c r="H8" s="62">
        <v>47</v>
      </c>
      <c r="I8" s="65">
        <v>8.48</v>
      </c>
      <c r="J8" s="66" t="s">
        <v>26</v>
      </c>
      <c r="K8" s="62" t="s">
        <v>33</v>
      </c>
      <c r="L8" s="67">
        <v>525</v>
      </c>
      <c r="M8" s="68">
        <f t="shared" si="0"/>
        <v>4452</v>
      </c>
      <c r="N8" s="69">
        <v>124.5</v>
      </c>
      <c r="O8" s="65">
        <v>9.74</v>
      </c>
      <c r="P8" s="70">
        <v>8.0440000000000005</v>
      </c>
      <c r="Q8" s="68">
        <f t="shared" si="1"/>
        <v>1001.4780000000001</v>
      </c>
      <c r="R8" s="68">
        <v>0</v>
      </c>
      <c r="S8" s="69">
        <f>20*I8</f>
        <v>169.60000000000002</v>
      </c>
      <c r="T8" s="71">
        <f t="shared" si="2"/>
        <v>5623.0779999999995</v>
      </c>
    </row>
    <row r="9" spans="1:20" ht="16.95" customHeight="1" x14ac:dyDescent="0.2">
      <c r="A9" s="72"/>
      <c r="B9" s="73"/>
      <c r="C9" s="74"/>
      <c r="D9" s="75"/>
      <c r="E9" s="74"/>
      <c r="F9" s="76"/>
      <c r="G9" s="77"/>
      <c r="H9" s="78"/>
      <c r="I9" s="79"/>
      <c r="J9" s="80"/>
      <c r="K9" s="78"/>
      <c r="L9" s="81"/>
      <c r="M9" s="82"/>
      <c r="N9" s="83"/>
      <c r="O9" s="79"/>
      <c r="P9" s="84"/>
      <c r="Q9" s="83"/>
      <c r="R9" s="83"/>
      <c r="S9" s="83"/>
      <c r="T9" s="85"/>
    </row>
    <row r="10" spans="1:20" ht="16.95" customHeight="1" x14ac:dyDescent="0.2">
      <c r="A10" s="44">
        <v>4</v>
      </c>
      <c r="B10" s="45" t="s">
        <v>28</v>
      </c>
      <c r="C10" s="46" t="s">
        <v>22</v>
      </c>
      <c r="D10" s="47" t="s">
        <v>23</v>
      </c>
      <c r="E10" s="48" t="s">
        <v>37</v>
      </c>
      <c r="F10" s="86" t="s">
        <v>38</v>
      </c>
      <c r="G10" s="50">
        <f>I10/H10</f>
        <v>0.23095238095238094</v>
      </c>
      <c r="H10" s="48">
        <v>42</v>
      </c>
      <c r="I10" s="55">
        <v>9.6999999999999993</v>
      </c>
      <c r="J10" s="51" t="s">
        <v>26</v>
      </c>
      <c r="K10" s="48" t="s">
        <v>39</v>
      </c>
      <c r="L10" s="52">
        <v>575</v>
      </c>
      <c r="M10" s="53">
        <f t="shared" si="0"/>
        <v>5577.5</v>
      </c>
      <c r="N10" s="54">
        <v>124.5</v>
      </c>
      <c r="O10" s="55">
        <v>11.31</v>
      </c>
      <c r="P10" s="56">
        <v>9.3699999999999992</v>
      </c>
      <c r="Q10" s="53">
        <f t="shared" si="1"/>
        <v>1166.5649999999998</v>
      </c>
      <c r="R10" s="53">
        <v>0</v>
      </c>
      <c r="S10" s="54">
        <f>20*I10</f>
        <v>194</v>
      </c>
      <c r="T10" s="57">
        <f t="shared" si="2"/>
        <v>6938.0649999999996</v>
      </c>
    </row>
    <row r="11" spans="1:20" ht="16.95" customHeight="1" x14ac:dyDescent="0.2">
      <c r="A11" s="87">
        <v>5</v>
      </c>
      <c r="B11" s="59" t="s">
        <v>28</v>
      </c>
      <c r="C11" s="60" t="s">
        <v>22</v>
      </c>
      <c r="D11" s="61" t="s">
        <v>23</v>
      </c>
      <c r="E11" s="88" t="s">
        <v>40</v>
      </c>
      <c r="F11" s="89" t="s">
        <v>38</v>
      </c>
      <c r="G11" s="64">
        <v>0.24772727272727274</v>
      </c>
      <c r="H11" s="90">
        <v>44</v>
      </c>
      <c r="I11" s="91">
        <v>10.9</v>
      </c>
      <c r="J11" s="92" t="s">
        <v>41</v>
      </c>
      <c r="K11" s="88" t="s">
        <v>42</v>
      </c>
      <c r="L11" s="67">
        <v>625</v>
      </c>
      <c r="M11" s="68">
        <f t="shared" si="0"/>
        <v>6812.5</v>
      </c>
      <c r="N11" s="69">
        <v>124.5</v>
      </c>
      <c r="O11" s="91">
        <v>10.85</v>
      </c>
      <c r="P11" s="64">
        <v>8.67</v>
      </c>
      <c r="Q11" s="68">
        <f t="shared" si="1"/>
        <v>1079.415</v>
      </c>
      <c r="R11" s="68">
        <v>0</v>
      </c>
      <c r="S11" s="69">
        <f>20*I11</f>
        <v>218</v>
      </c>
      <c r="T11" s="71">
        <f t="shared" si="2"/>
        <v>8109.915</v>
      </c>
    </row>
    <row r="12" spans="1:20" ht="16.95" customHeight="1" x14ac:dyDescent="0.2">
      <c r="A12" s="93"/>
      <c r="B12" s="94"/>
      <c r="C12" s="94"/>
      <c r="D12" s="94"/>
      <c r="E12" s="94"/>
      <c r="F12" s="95"/>
      <c r="G12" s="94"/>
      <c r="H12" s="94"/>
      <c r="I12" s="94"/>
      <c r="J12" s="96"/>
      <c r="K12" s="94"/>
      <c r="L12" s="96"/>
      <c r="M12" s="94"/>
      <c r="N12" s="94"/>
      <c r="O12" s="94"/>
      <c r="P12" s="94"/>
      <c r="Q12" s="94"/>
      <c r="R12" s="94"/>
      <c r="S12" s="94"/>
      <c r="T12" s="97"/>
    </row>
    <row r="13" spans="1:20" ht="16.95" customHeight="1" x14ac:dyDescent="0.2">
      <c r="A13" s="98">
        <v>6</v>
      </c>
      <c r="B13" s="99" t="s">
        <v>43</v>
      </c>
      <c r="C13" s="100" t="s">
        <v>44</v>
      </c>
      <c r="D13" s="47" t="s">
        <v>23</v>
      </c>
      <c r="E13" s="100" t="s">
        <v>45</v>
      </c>
      <c r="F13" s="49" t="s">
        <v>36</v>
      </c>
      <c r="G13" s="50">
        <f>I13/H13</f>
        <v>0.18407079646017699</v>
      </c>
      <c r="H13" s="48">
        <v>113</v>
      </c>
      <c r="I13" s="55">
        <v>20.8</v>
      </c>
      <c r="J13" s="101" t="s">
        <v>46</v>
      </c>
      <c r="K13" s="48" t="s">
        <v>47</v>
      </c>
      <c r="L13" s="102">
        <v>525</v>
      </c>
      <c r="M13" s="53">
        <f t="shared" si="0"/>
        <v>10920</v>
      </c>
      <c r="N13" s="54">
        <v>103</v>
      </c>
      <c r="O13" s="55">
        <v>27.24</v>
      </c>
      <c r="P13" s="56">
        <v>23.08</v>
      </c>
      <c r="Q13" s="53">
        <f t="shared" si="1"/>
        <v>2377.2399999999998</v>
      </c>
      <c r="R13" s="54">
        <v>450</v>
      </c>
      <c r="S13" s="54">
        <f>20*20.8</f>
        <v>416</v>
      </c>
      <c r="T13" s="103">
        <f>S13+R13+Q13+M13</f>
        <v>14163.24</v>
      </c>
    </row>
    <row r="14" spans="1:20" ht="16.95" customHeight="1" x14ac:dyDescent="0.2">
      <c r="A14" s="104"/>
      <c r="B14" s="105"/>
      <c r="C14" s="106" t="s">
        <v>48</v>
      </c>
      <c r="D14" s="62"/>
      <c r="E14" s="107"/>
      <c r="F14" s="63"/>
      <c r="G14" s="108"/>
      <c r="H14" s="62"/>
      <c r="I14" s="65"/>
      <c r="J14" s="109"/>
      <c r="K14" s="62"/>
      <c r="L14" s="110"/>
      <c r="M14" s="69"/>
      <c r="N14" s="69"/>
      <c r="O14" s="65"/>
      <c r="P14" s="111"/>
      <c r="Q14" s="69"/>
      <c r="R14" s="69"/>
      <c r="S14" s="69"/>
      <c r="T14" s="112"/>
    </row>
    <row r="15" spans="1:20" ht="16.95" customHeight="1" x14ac:dyDescent="0.2">
      <c r="A15" s="72"/>
      <c r="B15" s="94"/>
      <c r="C15" s="113"/>
      <c r="D15" s="78"/>
      <c r="E15" s="74"/>
      <c r="F15" s="76"/>
      <c r="G15" s="114"/>
      <c r="H15" s="78"/>
      <c r="I15" s="79"/>
      <c r="J15" s="80"/>
      <c r="K15" s="78"/>
      <c r="L15" s="115"/>
      <c r="M15" s="83"/>
      <c r="N15" s="83"/>
      <c r="O15" s="79"/>
      <c r="P15" s="84"/>
      <c r="Q15" s="83"/>
      <c r="R15" s="83"/>
      <c r="S15" s="83"/>
      <c r="T15" s="85"/>
    </row>
    <row r="16" spans="1:20" ht="16.95" customHeight="1" x14ac:dyDescent="0.2">
      <c r="A16" s="98">
        <v>7</v>
      </c>
      <c r="B16" s="99" t="s">
        <v>43</v>
      </c>
      <c r="C16" s="100" t="s">
        <v>49</v>
      </c>
      <c r="D16" s="116" t="s">
        <v>23</v>
      </c>
      <c r="E16" s="100" t="s">
        <v>50</v>
      </c>
      <c r="F16" s="49" t="s">
        <v>51</v>
      </c>
      <c r="G16" s="50">
        <f t="shared" ref="G16:G38" si="3">I16/H16</f>
        <v>1</v>
      </c>
      <c r="H16" s="48">
        <v>1</v>
      </c>
      <c r="I16" s="55">
        <v>1</v>
      </c>
      <c r="J16" s="101" t="s">
        <v>52</v>
      </c>
      <c r="K16" s="48" t="s">
        <v>53</v>
      </c>
      <c r="L16" s="102">
        <v>1375</v>
      </c>
      <c r="M16" s="53">
        <f t="shared" ref="M16:M38" si="4">L16*I16</f>
        <v>1375</v>
      </c>
      <c r="N16" s="54"/>
      <c r="O16" s="55"/>
      <c r="P16" s="56"/>
      <c r="Q16" s="54"/>
      <c r="R16" s="54"/>
      <c r="S16" s="54"/>
      <c r="T16" s="117"/>
    </row>
    <row r="17" spans="1:20" ht="16.95" customHeight="1" x14ac:dyDescent="0.2">
      <c r="A17" s="118"/>
      <c r="B17" s="119"/>
      <c r="C17" s="120" t="s">
        <v>54</v>
      </c>
      <c r="D17" s="121"/>
      <c r="E17" s="121"/>
      <c r="F17" s="122" t="s">
        <v>55</v>
      </c>
      <c r="G17" s="123">
        <f t="shared" si="3"/>
        <v>0.5</v>
      </c>
      <c r="H17" s="124">
        <v>2</v>
      </c>
      <c r="I17" s="125">
        <v>1</v>
      </c>
      <c r="J17" s="126"/>
      <c r="K17" s="124" t="s">
        <v>56</v>
      </c>
      <c r="L17" s="127">
        <v>750</v>
      </c>
      <c r="M17" s="128">
        <f t="shared" si="4"/>
        <v>750</v>
      </c>
      <c r="N17" s="129"/>
      <c r="O17" s="125"/>
      <c r="P17" s="130"/>
      <c r="Q17" s="129"/>
      <c r="R17" s="129"/>
      <c r="S17" s="129"/>
      <c r="T17" s="131"/>
    </row>
    <row r="18" spans="1:20" ht="16.95" customHeight="1" x14ac:dyDescent="0.2">
      <c r="A18" s="118"/>
      <c r="B18" s="119"/>
      <c r="C18" s="121" t="s">
        <v>57</v>
      </c>
      <c r="D18" s="121"/>
      <c r="E18" s="121"/>
      <c r="F18" s="122" t="s">
        <v>58</v>
      </c>
      <c r="G18" s="123">
        <f t="shared" si="3"/>
        <v>0.46</v>
      </c>
      <c r="H18" s="124">
        <v>2</v>
      </c>
      <c r="I18" s="125">
        <v>0.92</v>
      </c>
      <c r="J18" s="126"/>
      <c r="K18" s="124" t="s">
        <v>59</v>
      </c>
      <c r="L18" s="127">
        <v>700</v>
      </c>
      <c r="M18" s="128">
        <f t="shared" si="4"/>
        <v>644</v>
      </c>
      <c r="N18" s="129"/>
      <c r="O18" s="125"/>
      <c r="P18" s="130"/>
      <c r="Q18" s="129"/>
      <c r="R18" s="129"/>
      <c r="S18" s="129"/>
      <c r="T18" s="131"/>
    </row>
    <row r="19" spans="1:20" ht="16.95" customHeight="1" x14ac:dyDescent="0.2">
      <c r="A19" s="118"/>
      <c r="B19" s="119"/>
      <c r="C19" s="121" t="s">
        <v>60</v>
      </c>
      <c r="D19" s="121"/>
      <c r="E19" s="121"/>
      <c r="F19" s="122" t="s">
        <v>61</v>
      </c>
      <c r="G19" s="123">
        <f t="shared" si="3"/>
        <v>0.314</v>
      </c>
      <c r="H19" s="124">
        <v>10</v>
      </c>
      <c r="I19" s="125">
        <v>3.14</v>
      </c>
      <c r="J19" s="126"/>
      <c r="K19" s="124" t="s">
        <v>39</v>
      </c>
      <c r="L19" s="127">
        <v>600</v>
      </c>
      <c r="M19" s="128">
        <f t="shared" si="4"/>
        <v>1884</v>
      </c>
      <c r="N19" s="129"/>
      <c r="O19" s="125"/>
      <c r="P19" s="130"/>
      <c r="Q19" s="129"/>
      <c r="R19" s="129"/>
      <c r="S19" s="129"/>
      <c r="T19" s="131"/>
    </row>
    <row r="20" spans="1:20" ht="16.95" customHeight="1" x14ac:dyDescent="0.2">
      <c r="A20" s="118"/>
      <c r="B20" s="119"/>
      <c r="C20" s="121"/>
      <c r="D20" s="121"/>
      <c r="E20" s="121"/>
      <c r="F20" s="122" t="s">
        <v>38</v>
      </c>
      <c r="G20" s="123">
        <f t="shared" si="3"/>
        <v>0.23666666666666666</v>
      </c>
      <c r="H20" s="124">
        <v>6</v>
      </c>
      <c r="I20" s="125">
        <v>1.42</v>
      </c>
      <c r="J20" s="126"/>
      <c r="K20" s="124" t="s">
        <v>39</v>
      </c>
      <c r="L20" s="127">
        <v>550</v>
      </c>
      <c r="M20" s="128">
        <f t="shared" si="4"/>
        <v>781</v>
      </c>
      <c r="N20" s="129"/>
      <c r="O20" s="125"/>
      <c r="P20" s="130"/>
      <c r="Q20" s="129"/>
      <c r="R20" s="129"/>
      <c r="S20" s="129"/>
      <c r="T20" s="131"/>
    </row>
    <row r="21" spans="1:20" ht="16.95" customHeight="1" x14ac:dyDescent="0.2">
      <c r="A21" s="118"/>
      <c r="B21" s="119"/>
      <c r="C21" s="121"/>
      <c r="D21" s="121"/>
      <c r="E21" s="121"/>
      <c r="F21" s="122" t="s">
        <v>36</v>
      </c>
      <c r="G21" s="123">
        <f t="shared" si="3"/>
        <v>0.1825</v>
      </c>
      <c r="H21" s="124">
        <v>4</v>
      </c>
      <c r="I21" s="125">
        <v>0.73</v>
      </c>
      <c r="J21" s="126"/>
      <c r="K21" s="124" t="s">
        <v>33</v>
      </c>
      <c r="L21" s="127">
        <v>535</v>
      </c>
      <c r="M21" s="128">
        <f t="shared" si="4"/>
        <v>390.55</v>
      </c>
      <c r="N21" s="129"/>
      <c r="O21" s="125"/>
      <c r="P21" s="130"/>
      <c r="Q21" s="129"/>
      <c r="R21" s="129"/>
      <c r="S21" s="129"/>
      <c r="T21" s="131"/>
    </row>
    <row r="22" spans="1:20" ht="16.95" customHeight="1" x14ac:dyDescent="0.2">
      <c r="A22" s="118"/>
      <c r="B22" s="119"/>
      <c r="C22" s="121"/>
      <c r="D22" s="121"/>
      <c r="E22" s="121"/>
      <c r="F22" s="122" t="s">
        <v>62</v>
      </c>
      <c r="G22" s="123">
        <f t="shared" si="3"/>
        <v>0.11166666666666668</v>
      </c>
      <c r="H22" s="124">
        <v>6</v>
      </c>
      <c r="I22" s="125">
        <v>0.67</v>
      </c>
      <c r="J22" s="126"/>
      <c r="K22" s="124" t="s">
        <v>63</v>
      </c>
      <c r="L22" s="127">
        <v>475</v>
      </c>
      <c r="M22" s="128">
        <f t="shared" si="4"/>
        <v>318.25</v>
      </c>
      <c r="N22" s="129"/>
      <c r="O22" s="125"/>
      <c r="P22" s="130"/>
      <c r="Q22" s="129"/>
      <c r="R22" s="129"/>
      <c r="S22" s="129"/>
      <c r="T22" s="131"/>
    </row>
    <row r="23" spans="1:20" ht="16.95" customHeight="1" x14ac:dyDescent="0.2">
      <c r="A23" s="118"/>
      <c r="B23" s="119"/>
      <c r="C23" s="121"/>
      <c r="D23" s="121"/>
      <c r="E23" s="121"/>
      <c r="F23" s="122" t="s">
        <v>64</v>
      </c>
      <c r="G23" s="123">
        <f t="shared" si="3"/>
        <v>9.7500000000000003E-2</v>
      </c>
      <c r="H23" s="124">
        <v>4</v>
      </c>
      <c r="I23" s="125">
        <v>0.39</v>
      </c>
      <c r="J23" s="126"/>
      <c r="K23" s="124" t="s">
        <v>65</v>
      </c>
      <c r="L23" s="127">
        <v>475</v>
      </c>
      <c r="M23" s="128">
        <f t="shared" si="4"/>
        <v>185.25</v>
      </c>
      <c r="N23" s="129"/>
      <c r="O23" s="125"/>
      <c r="P23" s="130"/>
      <c r="Q23" s="129"/>
      <c r="R23" s="129"/>
      <c r="S23" s="129"/>
      <c r="T23" s="131"/>
    </row>
    <row r="24" spans="1:20" ht="16.95" customHeight="1" x14ac:dyDescent="0.2">
      <c r="A24" s="118"/>
      <c r="B24" s="119"/>
      <c r="C24" s="121"/>
      <c r="D24" s="121"/>
      <c r="E24" s="121"/>
      <c r="F24" s="122" t="s">
        <v>66</v>
      </c>
      <c r="G24" s="123">
        <f t="shared" si="3"/>
        <v>4.230769230769231E-2</v>
      </c>
      <c r="H24" s="124">
        <v>26</v>
      </c>
      <c r="I24" s="125">
        <v>1.1000000000000001</v>
      </c>
      <c r="J24" s="126"/>
      <c r="K24" s="124" t="s">
        <v>67</v>
      </c>
      <c r="L24" s="127">
        <v>350</v>
      </c>
      <c r="M24" s="128">
        <f t="shared" si="4"/>
        <v>385.00000000000006</v>
      </c>
      <c r="N24" s="129"/>
      <c r="O24" s="125"/>
      <c r="P24" s="130"/>
      <c r="Q24" s="129"/>
      <c r="R24" s="129"/>
      <c r="S24" s="129"/>
      <c r="T24" s="131"/>
    </row>
    <row r="25" spans="1:20" ht="16.95" customHeight="1" x14ac:dyDescent="0.2">
      <c r="A25" s="104"/>
      <c r="B25" s="105"/>
      <c r="C25" s="107"/>
      <c r="D25" s="107"/>
      <c r="E25" s="107"/>
      <c r="F25" s="63" t="s">
        <v>68</v>
      </c>
      <c r="G25" s="64">
        <f t="shared" si="3"/>
        <v>2.8260869565217391E-2</v>
      </c>
      <c r="H25" s="62">
        <v>46</v>
      </c>
      <c r="I25" s="65">
        <v>1.3</v>
      </c>
      <c r="J25" s="109"/>
      <c r="K25" s="62" t="s">
        <v>69</v>
      </c>
      <c r="L25" s="110">
        <v>330</v>
      </c>
      <c r="M25" s="68">
        <f t="shared" si="4"/>
        <v>429</v>
      </c>
      <c r="N25" s="69">
        <v>103</v>
      </c>
      <c r="O25" s="65">
        <v>22.94</v>
      </c>
      <c r="P25" s="70">
        <v>20.606000000000002</v>
      </c>
      <c r="Q25" s="68">
        <f t="shared" ref="Q25" si="5">P25*N25</f>
        <v>2122.4180000000001</v>
      </c>
      <c r="R25" s="69">
        <v>475</v>
      </c>
      <c r="S25" s="69">
        <f>20*11.67</f>
        <v>233.4</v>
      </c>
      <c r="T25" s="132">
        <f>S25+R25+Q25+M16+M17+M18+M19+M20+M21+M22+M23+M24+M25</f>
        <v>9972.8679999999986</v>
      </c>
    </row>
    <row r="26" spans="1:20" ht="16.95" customHeight="1" x14ac:dyDescent="0.2">
      <c r="A26" s="72"/>
      <c r="B26" s="94"/>
      <c r="C26" s="74"/>
      <c r="D26" s="74"/>
      <c r="E26" s="74"/>
      <c r="F26" s="76"/>
      <c r="G26" s="114"/>
      <c r="H26" s="78"/>
      <c r="I26" s="79"/>
      <c r="J26" s="80"/>
      <c r="K26" s="78"/>
      <c r="L26" s="115"/>
      <c r="M26" s="83"/>
      <c r="N26" s="83"/>
      <c r="O26" s="79"/>
      <c r="P26" s="133"/>
      <c r="Q26" s="83"/>
      <c r="R26" s="83"/>
      <c r="S26" s="83"/>
      <c r="T26" s="85"/>
    </row>
    <row r="27" spans="1:20" ht="16.95" customHeight="1" x14ac:dyDescent="0.2">
      <c r="A27" s="98">
        <v>8</v>
      </c>
      <c r="B27" s="99" t="s">
        <v>43</v>
      </c>
      <c r="C27" s="100" t="s">
        <v>70</v>
      </c>
      <c r="D27" s="116" t="s">
        <v>23</v>
      </c>
      <c r="E27" s="100" t="s">
        <v>71</v>
      </c>
      <c r="F27" s="49" t="s">
        <v>72</v>
      </c>
      <c r="G27" s="50">
        <f t="shared" si="3"/>
        <v>0.91</v>
      </c>
      <c r="H27" s="48">
        <v>1</v>
      </c>
      <c r="I27" s="55">
        <v>0.91</v>
      </c>
      <c r="J27" s="101" t="s">
        <v>52</v>
      </c>
      <c r="K27" s="48" t="s">
        <v>73</v>
      </c>
      <c r="L27" s="102">
        <v>1025</v>
      </c>
      <c r="M27" s="53">
        <f t="shared" si="4"/>
        <v>932.75</v>
      </c>
      <c r="N27" s="54"/>
      <c r="O27" s="55"/>
      <c r="P27" s="56"/>
      <c r="Q27" s="54"/>
      <c r="R27" s="54"/>
      <c r="S27" s="54"/>
      <c r="T27" s="117"/>
    </row>
    <row r="28" spans="1:20" ht="16.95" customHeight="1" x14ac:dyDescent="0.2">
      <c r="A28" s="118"/>
      <c r="B28" s="119"/>
      <c r="C28" s="120" t="s">
        <v>74</v>
      </c>
      <c r="D28" s="121"/>
      <c r="E28" s="121"/>
      <c r="F28" s="122" t="s">
        <v>75</v>
      </c>
      <c r="G28" s="123">
        <f t="shared" si="3"/>
        <v>0.5</v>
      </c>
      <c r="H28" s="124">
        <v>2</v>
      </c>
      <c r="I28" s="125">
        <v>1</v>
      </c>
      <c r="J28" s="126"/>
      <c r="K28" s="124" t="s">
        <v>56</v>
      </c>
      <c r="L28" s="127">
        <v>750</v>
      </c>
      <c r="M28" s="128">
        <f t="shared" si="4"/>
        <v>750</v>
      </c>
      <c r="N28" s="129"/>
      <c r="O28" s="125"/>
      <c r="P28" s="130"/>
      <c r="Q28" s="129"/>
      <c r="R28" s="129"/>
      <c r="S28" s="129"/>
      <c r="T28" s="131"/>
    </row>
    <row r="29" spans="1:20" ht="16.95" customHeight="1" x14ac:dyDescent="0.2">
      <c r="A29" s="118"/>
      <c r="B29" s="119"/>
      <c r="C29" s="121" t="s">
        <v>43</v>
      </c>
      <c r="D29" s="121"/>
      <c r="E29" s="121"/>
      <c r="F29" s="122" t="s">
        <v>58</v>
      </c>
      <c r="G29" s="123">
        <f t="shared" si="3"/>
        <v>0.46500000000000002</v>
      </c>
      <c r="H29" s="124">
        <v>2</v>
      </c>
      <c r="I29" s="125">
        <v>0.93</v>
      </c>
      <c r="J29" s="126"/>
      <c r="K29" s="124" t="s">
        <v>59</v>
      </c>
      <c r="L29" s="127">
        <v>700</v>
      </c>
      <c r="M29" s="128">
        <f t="shared" si="4"/>
        <v>651</v>
      </c>
      <c r="N29" s="129"/>
      <c r="O29" s="125"/>
      <c r="P29" s="130"/>
      <c r="Q29" s="129"/>
      <c r="R29" s="129"/>
      <c r="S29" s="129"/>
      <c r="T29" s="131"/>
    </row>
    <row r="30" spans="1:20" ht="16.95" customHeight="1" x14ac:dyDescent="0.2">
      <c r="A30" s="118"/>
      <c r="B30" s="119"/>
      <c r="C30" s="121"/>
      <c r="D30" s="121"/>
      <c r="E30" s="121"/>
      <c r="F30" s="122" t="s">
        <v>76</v>
      </c>
      <c r="G30" s="123">
        <f t="shared" si="3"/>
        <v>0.39250000000000002</v>
      </c>
      <c r="H30" s="124">
        <v>4</v>
      </c>
      <c r="I30" s="125">
        <v>1.57</v>
      </c>
      <c r="J30" s="126"/>
      <c r="K30" s="124" t="s">
        <v>59</v>
      </c>
      <c r="L30" s="127">
        <v>675</v>
      </c>
      <c r="M30" s="128">
        <f t="shared" si="4"/>
        <v>1059.75</v>
      </c>
      <c r="N30" s="129"/>
      <c r="O30" s="125"/>
      <c r="P30" s="130"/>
      <c r="Q30" s="129"/>
      <c r="R30" s="129"/>
      <c r="S30" s="129"/>
      <c r="T30" s="131"/>
    </row>
    <row r="31" spans="1:20" ht="16.95" customHeight="1" x14ac:dyDescent="0.2">
      <c r="A31" s="118"/>
      <c r="B31" s="119"/>
      <c r="C31" s="121"/>
      <c r="D31" s="121"/>
      <c r="E31" s="121"/>
      <c r="F31" s="122" t="s">
        <v>61</v>
      </c>
      <c r="G31" s="123">
        <f t="shared" si="3"/>
        <v>0.3125</v>
      </c>
      <c r="H31" s="124">
        <v>4</v>
      </c>
      <c r="I31" s="125">
        <v>1.25</v>
      </c>
      <c r="J31" s="126"/>
      <c r="K31" s="124" t="s">
        <v>39</v>
      </c>
      <c r="L31" s="127">
        <v>600</v>
      </c>
      <c r="M31" s="128">
        <f t="shared" si="4"/>
        <v>750</v>
      </c>
      <c r="N31" s="129"/>
      <c r="O31" s="125"/>
      <c r="P31" s="130"/>
      <c r="Q31" s="129"/>
      <c r="R31" s="129"/>
      <c r="S31" s="129"/>
      <c r="T31" s="131"/>
    </row>
    <row r="32" spans="1:20" ht="16.95" customHeight="1" x14ac:dyDescent="0.2">
      <c r="A32" s="118"/>
      <c r="B32" s="119"/>
      <c r="C32" s="121"/>
      <c r="D32" s="121"/>
      <c r="E32" s="121"/>
      <c r="F32" s="122" t="s">
        <v>38</v>
      </c>
      <c r="G32" s="123">
        <f t="shared" si="3"/>
        <v>0.245</v>
      </c>
      <c r="H32" s="124">
        <v>4</v>
      </c>
      <c r="I32" s="125">
        <v>0.98</v>
      </c>
      <c r="J32" s="126"/>
      <c r="K32" s="124" t="s">
        <v>39</v>
      </c>
      <c r="L32" s="127">
        <v>550</v>
      </c>
      <c r="M32" s="128">
        <f t="shared" si="4"/>
        <v>539</v>
      </c>
      <c r="N32" s="129"/>
      <c r="O32" s="125"/>
      <c r="P32" s="130"/>
      <c r="Q32" s="129"/>
      <c r="R32" s="129"/>
      <c r="S32" s="129"/>
      <c r="T32" s="131"/>
    </row>
    <row r="33" spans="1:20" ht="16.95" customHeight="1" x14ac:dyDescent="0.2">
      <c r="A33" s="118"/>
      <c r="B33" s="119"/>
      <c r="C33" s="121"/>
      <c r="D33" s="121"/>
      <c r="E33" s="121"/>
      <c r="F33" s="122" t="s">
        <v>36</v>
      </c>
      <c r="G33" s="123">
        <f t="shared" si="3"/>
        <v>0.19</v>
      </c>
      <c r="H33" s="124">
        <v>2</v>
      </c>
      <c r="I33" s="125">
        <v>0.38</v>
      </c>
      <c r="J33" s="126"/>
      <c r="K33" s="124" t="s">
        <v>33</v>
      </c>
      <c r="L33" s="127">
        <v>535</v>
      </c>
      <c r="M33" s="128">
        <f t="shared" si="4"/>
        <v>203.3</v>
      </c>
      <c r="N33" s="129"/>
      <c r="O33" s="125"/>
      <c r="P33" s="130"/>
      <c r="Q33" s="129"/>
      <c r="R33" s="129"/>
      <c r="S33" s="129"/>
      <c r="T33" s="131"/>
    </row>
    <row r="34" spans="1:20" ht="16.95" customHeight="1" x14ac:dyDescent="0.2">
      <c r="A34" s="118"/>
      <c r="B34" s="119"/>
      <c r="C34" s="121"/>
      <c r="D34" s="121"/>
      <c r="E34" s="121"/>
      <c r="F34" s="122" t="s">
        <v>31</v>
      </c>
      <c r="G34" s="123">
        <f t="shared" si="3"/>
        <v>0.155</v>
      </c>
      <c r="H34" s="124">
        <v>2</v>
      </c>
      <c r="I34" s="125">
        <v>0.31</v>
      </c>
      <c r="J34" s="126"/>
      <c r="K34" s="124" t="s">
        <v>77</v>
      </c>
      <c r="L34" s="127">
        <v>500</v>
      </c>
      <c r="M34" s="128">
        <f t="shared" si="4"/>
        <v>155</v>
      </c>
      <c r="N34" s="129"/>
      <c r="O34" s="125"/>
      <c r="P34" s="130"/>
      <c r="Q34" s="129"/>
      <c r="R34" s="129"/>
      <c r="S34" s="129"/>
      <c r="T34" s="131"/>
    </row>
    <row r="35" spans="1:20" ht="16.95" customHeight="1" x14ac:dyDescent="0.2">
      <c r="A35" s="118"/>
      <c r="B35" s="119"/>
      <c r="C35" s="121"/>
      <c r="D35" s="121"/>
      <c r="E35" s="121"/>
      <c r="F35" s="122" t="s">
        <v>62</v>
      </c>
      <c r="G35" s="123">
        <f t="shared" si="3"/>
        <v>0.13250000000000001</v>
      </c>
      <c r="H35" s="124">
        <v>4</v>
      </c>
      <c r="I35" s="125">
        <v>0.53</v>
      </c>
      <c r="J35" s="126"/>
      <c r="K35" s="124" t="s">
        <v>63</v>
      </c>
      <c r="L35" s="127">
        <v>475</v>
      </c>
      <c r="M35" s="128">
        <f t="shared" si="4"/>
        <v>251.75</v>
      </c>
      <c r="N35" s="129"/>
      <c r="O35" s="125"/>
      <c r="P35" s="130"/>
      <c r="Q35" s="129"/>
      <c r="R35" s="129"/>
      <c r="S35" s="129"/>
      <c r="T35" s="131"/>
    </row>
    <row r="36" spans="1:20" ht="16.95" customHeight="1" x14ac:dyDescent="0.2">
      <c r="A36" s="118"/>
      <c r="B36" s="119"/>
      <c r="C36" s="121"/>
      <c r="D36" s="121"/>
      <c r="E36" s="121"/>
      <c r="F36" s="122" t="s">
        <v>78</v>
      </c>
      <c r="G36" s="123">
        <f t="shared" si="3"/>
        <v>8.3846153846153848E-2</v>
      </c>
      <c r="H36" s="124">
        <v>26</v>
      </c>
      <c r="I36" s="125">
        <v>2.1800000000000002</v>
      </c>
      <c r="J36" s="126"/>
      <c r="K36" s="124" t="s">
        <v>65</v>
      </c>
      <c r="L36" s="127">
        <v>475</v>
      </c>
      <c r="M36" s="128">
        <f t="shared" si="4"/>
        <v>1035.5</v>
      </c>
      <c r="N36" s="129"/>
      <c r="O36" s="125"/>
      <c r="P36" s="130"/>
      <c r="Q36" s="129"/>
      <c r="R36" s="129"/>
      <c r="S36" s="129"/>
      <c r="T36" s="131"/>
    </row>
    <row r="37" spans="1:20" ht="16.95" customHeight="1" x14ac:dyDescent="0.2">
      <c r="A37" s="118"/>
      <c r="B37" s="119"/>
      <c r="C37" s="121"/>
      <c r="D37" s="121"/>
      <c r="E37" s="121"/>
      <c r="F37" s="122" t="s">
        <v>66</v>
      </c>
      <c r="G37" s="123">
        <f t="shared" si="3"/>
        <v>4.8500000000000001E-2</v>
      </c>
      <c r="H37" s="124">
        <v>60</v>
      </c>
      <c r="I37" s="125">
        <v>2.91</v>
      </c>
      <c r="J37" s="126"/>
      <c r="K37" s="124" t="s">
        <v>67</v>
      </c>
      <c r="L37" s="127">
        <v>350</v>
      </c>
      <c r="M37" s="128">
        <f t="shared" si="4"/>
        <v>1018.5</v>
      </c>
      <c r="N37" s="129"/>
      <c r="O37" s="125"/>
      <c r="P37" s="130"/>
      <c r="Q37" s="129"/>
      <c r="R37" s="129"/>
      <c r="S37" s="129"/>
      <c r="T37" s="131"/>
    </row>
    <row r="38" spans="1:20" ht="16.95" customHeight="1" thickBot="1" x14ac:dyDescent="0.25">
      <c r="A38" s="30"/>
      <c r="B38" s="134"/>
      <c r="C38" s="32"/>
      <c r="D38" s="32"/>
      <c r="E38" s="32"/>
      <c r="F38" s="34" t="s">
        <v>68</v>
      </c>
      <c r="G38" s="35">
        <f t="shared" si="3"/>
        <v>2.8999999999999998E-2</v>
      </c>
      <c r="H38" s="36">
        <v>40</v>
      </c>
      <c r="I38" s="37">
        <v>1.1599999999999999</v>
      </c>
      <c r="J38" s="38"/>
      <c r="K38" s="36" t="s">
        <v>69</v>
      </c>
      <c r="L38" s="135">
        <v>330</v>
      </c>
      <c r="M38" s="40">
        <f t="shared" si="4"/>
        <v>382.79999999999995</v>
      </c>
      <c r="N38" s="41">
        <v>103</v>
      </c>
      <c r="O38" s="37">
        <v>22.88</v>
      </c>
      <c r="P38" s="136">
        <v>20.058</v>
      </c>
      <c r="Q38" s="40">
        <f t="shared" ref="Q38" si="6">P38*N38</f>
        <v>2065.9740000000002</v>
      </c>
      <c r="R38" s="41">
        <v>475</v>
      </c>
      <c r="S38" s="41">
        <f>20*14.11</f>
        <v>282.2</v>
      </c>
      <c r="T38" s="137">
        <f>S38+R38+Q38+M27+M28+M29+M30+M31+M32+M33+M34+M35+M36+M37+M38</f>
        <v>10552.523999999999</v>
      </c>
    </row>
    <row r="39" spans="1:20" ht="16.95" customHeight="1" thickBot="1" x14ac:dyDescent="0.25">
      <c r="A39" s="138">
        <f>SUBTOTAL(103,Table13[Sr])</f>
        <v>8</v>
      </c>
      <c r="B39" s="139"/>
      <c r="C39" s="140"/>
      <c r="D39" s="140"/>
      <c r="E39" s="140"/>
      <c r="F39" s="140"/>
      <c r="G39" s="141"/>
      <c r="H39" s="142">
        <f>SUBTOTAL(109,Table13[No.Pcs])</f>
        <v>609</v>
      </c>
      <c r="I39" s="143">
        <f>SUBTOTAL(109,Table13[Diam Cts])</f>
        <v>89.76</v>
      </c>
      <c r="J39" s="144"/>
      <c r="K39" s="142"/>
      <c r="L39" s="6"/>
      <c r="M39" s="145">
        <f>SUBTOTAL(109,Table13[Diam Total])</f>
        <v>49861.900000000009</v>
      </c>
      <c r="N39" s="142"/>
      <c r="O39" s="143">
        <f>SUBTOTAL(109,Table13[Gross Gm])</f>
        <v>125.72999999999999</v>
      </c>
      <c r="P39" s="146">
        <f>SUBTOTAL(109,Table13[Net Gm])</f>
        <v>107.77799999999999</v>
      </c>
      <c r="Q39" s="147">
        <f>SUBTOTAL(109,Table13[Gold Total])</f>
        <v>12047.865</v>
      </c>
      <c r="R39" s="147">
        <f>SUBTOTAL(109,Table13[Diam Settg])</f>
        <v>1400</v>
      </c>
      <c r="S39" s="147">
        <f>SUBTOTAL(109,Table13[Cert Exp])</f>
        <v>1795.2</v>
      </c>
      <c r="T39" s="148">
        <f>SUBTOTAL(109,Table13[Total Amt $])</f>
        <v>65104.965000000004</v>
      </c>
    </row>
    <row r="40" spans="1:20" ht="16.95" customHeight="1" x14ac:dyDescent="0.2">
      <c r="A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>
        <v>1</v>
      </c>
      <c r="N40" s="149"/>
      <c r="O40" s="150"/>
      <c r="P40" s="149"/>
      <c r="Q40" s="149">
        <v>2</v>
      </c>
      <c r="R40" s="149">
        <v>3</v>
      </c>
      <c r="S40" s="149">
        <v>4</v>
      </c>
      <c r="T40" s="149" t="s">
        <v>79</v>
      </c>
    </row>
    <row r="41" spans="1:20" ht="16.95" customHeight="1" x14ac:dyDescent="0.2">
      <c r="A41" s="151" t="s">
        <v>80</v>
      </c>
      <c r="B41" s="152"/>
      <c r="C41" s="153"/>
    </row>
  </sheetData>
  <mergeCells count="3">
    <mergeCell ref="A2:T2"/>
    <mergeCell ref="A3:T3"/>
    <mergeCell ref="A41:C41"/>
  </mergeCells>
  <hyperlinks>
    <hyperlink ref="D5" r:id="rId1" xr:uid="{E5E3FB4A-69B8-40E4-B036-C82540A96146}"/>
    <hyperlink ref="D7" r:id="rId2" xr:uid="{C9E8A4A7-023E-451B-9881-B95E0A4322DA}"/>
    <hyperlink ref="D10" r:id="rId3" xr:uid="{2ED2C149-7EA9-4F2A-ABE2-F857895ABB2F}"/>
    <hyperlink ref="D13" r:id="rId4" xr:uid="{A4AD48A7-C06B-494C-9743-07D8F3D27662}"/>
    <hyperlink ref="D16" r:id="rId5" xr:uid="{C86A4672-EA71-41F3-A00A-54DD07E071D7}"/>
    <hyperlink ref="D27" r:id="rId6" xr:uid="{DF54A119-AB37-4F52-ABCA-72F4E435BA64}"/>
    <hyperlink ref="D8" r:id="rId7" xr:uid="{F7B9BBC2-F470-440F-9EEB-62F0CBB2C4B1}"/>
    <hyperlink ref="D11" r:id="rId8" xr:uid="{0E324E19-8E1C-4870-8795-66DE88D27032}"/>
  </hyperlinks>
  <pageMargins left="0.70866141732283472" right="0.70866141732283472" top="0.74803149606299213" bottom="0.35433070866141736" header="0.31496062992125984" footer="0.31496062992125984"/>
  <pageSetup paperSize="9" scale="71" orientation="landscape" r:id="rId9"/>
  <ignoredErrors>
    <ignoredError sqref="G5:G7 S5:T38 G12:G38 G9:G10" unlockedFormula="1"/>
    <ignoredError sqref="G11 G8" unlockedFormula="1" calculatedColumn="1"/>
  </ignoredErrors>
  <drawing r:id="rId10"/>
  <tableParts count="1"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Rounds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Star-Viraj Shah</dc:creator>
  <cp:lastModifiedBy>Antonia Star-Viraj Shah</cp:lastModifiedBy>
  <cp:lastPrinted>2026-07-03T07:42:41Z</cp:lastPrinted>
  <dcterms:created xsi:type="dcterms:W3CDTF">2026-07-03T07:16:06Z</dcterms:created>
  <dcterms:modified xsi:type="dcterms:W3CDTF">2026-07-03T09:16:27Z</dcterms:modified>
</cp:coreProperties>
</file>