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1.NEW DATA 10.10.2015\"/>
    </mc:Choice>
  </mc:AlternateContent>
  <xr:revisionPtr revIDLastSave="0" documentId="13_ncr:1_{D29964A4-9349-43EF-BDA9-38C70BE4B194}" xr6:coauthVersionLast="47" xr6:coauthVersionMax="47" xr10:uidLastSave="{00000000-0000-0000-0000-000000000000}"/>
  <bookViews>
    <workbookView xWindow="-108" yWindow="-108" windowWidth="23256" windowHeight="12456" xr2:uid="{9B83142C-6976-4CBC-8D00-AFD67CA4EDD4}"/>
  </bookViews>
  <sheets>
    <sheet name="Sheet1" sheetId="1" r:id="rId1"/>
  </sheets>
  <definedNames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9" i="1" l="1"/>
  <c r="P59" i="1"/>
  <c r="O59" i="1"/>
  <c r="I59" i="1"/>
  <c r="H59" i="1"/>
  <c r="A59" i="1"/>
  <c r="Q58" i="1"/>
  <c r="Q46" i="1"/>
  <c r="M58" i="1"/>
  <c r="M57" i="1"/>
  <c r="M56" i="1"/>
  <c r="M55" i="1"/>
  <c r="M54" i="1"/>
  <c r="M53" i="1"/>
  <c r="M52" i="1"/>
  <c r="M51" i="1"/>
  <c r="M50" i="1"/>
  <c r="M49" i="1"/>
  <c r="M48" i="1"/>
  <c r="M46" i="1"/>
  <c r="M45" i="1"/>
  <c r="M44" i="1"/>
  <c r="M43" i="1"/>
  <c r="M42" i="1"/>
  <c r="M41" i="1"/>
  <c r="M40" i="1"/>
  <c r="M39" i="1"/>
  <c r="M38" i="1"/>
  <c r="M37" i="1"/>
  <c r="G58" i="1"/>
  <c r="G57" i="1"/>
  <c r="G56" i="1"/>
  <c r="G55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S35" i="1"/>
  <c r="S32" i="1"/>
  <c r="S28" i="1"/>
  <c r="S25" i="1"/>
  <c r="S22" i="1"/>
  <c r="S19" i="1"/>
  <c r="S15" i="1"/>
  <c r="S13" i="1"/>
  <c r="S10" i="1"/>
  <c r="S7" i="1"/>
  <c r="Q35" i="1"/>
  <c r="Q32" i="1"/>
  <c r="Q28" i="1"/>
  <c r="Q25" i="1"/>
  <c r="Q22" i="1"/>
  <c r="Q19" i="1"/>
  <c r="Q15" i="1"/>
  <c r="Q13" i="1"/>
  <c r="Q10" i="1"/>
  <c r="Q7" i="1"/>
  <c r="Q59" i="1" l="1"/>
  <c r="S59" i="1"/>
  <c r="T58" i="1"/>
  <c r="T46" i="1"/>
  <c r="M35" i="1"/>
  <c r="M34" i="1"/>
  <c r="M32" i="1"/>
  <c r="M31" i="1"/>
  <c r="M30" i="1"/>
  <c r="M28" i="1"/>
  <c r="M27" i="1"/>
  <c r="M25" i="1"/>
  <c r="M24" i="1"/>
  <c r="M22" i="1"/>
  <c r="M21" i="1"/>
  <c r="M19" i="1"/>
  <c r="M18" i="1"/>
  <c r="M17" i="1"/>
  <c r="M15" i="1"/>
  <c r="T15" i="1" s="1"/>
  <c r="M13" i="1"/>
  <c r="M12" i="1"/>
  <c r="M10" i="1"/>
  <c r="M9" i="1"/>
  <c r="M7" i="1"/>
  <c r="M6" i="1"/>
  <c r="M5" i="1"/>
  <c r="G35" i="1"/>
  <c r="G34" i="1"/>
  <c r="G32" i="1"/>
  <c r="G31" i="1"/>
  <c r="G30" i="1"/>
  <c r="G28" i="1"/>
  <c r="G27" i="1"/>
  <c r="G25" i="1"/>
  <c r="G24" i="1"/>
  <c r="G22" i="1"/>
  <c r="G21" i="1"/>
  <c r="G19" i="1"/>
  <c r="G18" i="1"/>
  <c r="G17" i="1"/>
  <c r="G15" i="1"/>
  <c r="G13" i="1"/>
  <c r="G12" i="1"/>
  <c r="G10" i="1"/>
  <c r="G9" i="1"/>
  <c r="G7" i="1"/>
  <c r="G6" i="1"/>
  <c r="G5" i="1"/>
  <c r="M59" i="1" l="1"/>
  <c r="T19" i="1"/>
  <c r="T28" i="1"/>
  <c r="T32" i="1"/>
  <c r="T7" i="1"/>
  <c r="T35" i="1"/>
  <c r="T10" i="1"/>
  <c r="T22" i="1"/>
  <c r="T13" i="1"/>
  <c r="T25" i="1"/>
  <c r="T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Viraj-Antonia</author>
  </authors>
  <commentList>
    <comment ref="E5" authorId="0" shapeId="0" xr:uid="{84780808-8811-476E-BE53-318B1DC52119}">
      <text>
        <r>
          <rPr>
            <b/>
            <sz val="9"/>
            <color indexed="81"/>
            <rFont val="Tahoma"/>
            <family val="2"/>
          </rPr>
          <t>Viraj-Antonia:</t>
        </r>
        <r>
          <rPr>
            <sz val="9"/>
            <color indexed="81"/>
            <rFont val="Tahoma"/>
            <family val="2"/>
          </rPr>
          <t xml:space="preserve">
628456485 F SI1 IGI</t>
        </r>
      </text>
    </comment>
  </commentList>
</comments>
</file>

<file path=xl/sharedStrings.xml><?xml version="1.0" encoding="utf-8"?>
<sst xmlns="http://schemas.openxmlformats.org/spreadsheetml/2006/main" count="227" uniqueCount="132">
  <si>
    <t>Sr</t>
  </si>
  <si>
    <t>ITEM</t>
  </si>
  <si>
    <t>LAB</t>
  </si>
  <si>
    <t>Cert Number</t>
  </si>
  <si>
    <t>Parcel Id</t>
  </si>
  <si>
    <t>Size2</t>
  </si>
  <si>
    <t>Avg Pts</t>
  </si>
  <si>
    <t>No.Pcs</t>
  </si>
  <si>
    <t>Diam Cts</t>
  </si>
  <si>
    <t>Col - Clarity</t>
  </si>
  <si>
    <t>LOT</t>
  </si>
  <si>
    <t>Per/ct</t>
  </si>
  <si>
    <t>Diam Total</t>
  </si>
  <si>
    <t>Gross Gm</t>
  </si>
  <si>
    <t>Net Gm</t>
  </si>
  <si>
    <t>Gold Total</t>
  </si>
  <si>
    <t>Labour</t>
  </si>
  <si>
    <t>Cert Exp</t>
  </si>
  <si>
    <t>Total Amt</t>
  </si>
  <si>
    <t>Round-Princess Braclet</t>
  </si>
  <si>
    <t>HRD</t>
  </si>
  <si>
    <t>J250000130901</t>
  </si>
  <si>
    <t>Round</t>
  </si>
  <si>
    <t>1ct</t>
  </si>
  <si>
    <t>FG SI</t>
  </si>
  <si>
    <t>+7.50-8</t>
  </si>
  <si>
    <t>EF VS</t>
  </si>
  <si>
    <t>Cts : 4.74/Pcs : 56</t>
  </si>
  <si>
    <t>Princess</t>
  </si>
  <si>
    <t>1/10</t>
  </si>
  <si>
    <t>USZZ</t>
  </si>
  <si>
    <t>CTCC</t>
  </si>
  <si>
    <t>CQCZ</t>
  </si>
  <si>
    <t>Princess-Emerald Brc</t>
  </si>
  <si>
    <t>J250000122464</t>
  </si>
  <si>
    <t>Cts : 6.21/Pcs : 51</t>
  </si>
  <si>
    <t>Emerald</t>
  </si>
  <si>
    <t>EF VVS-VS</t>
  </si>
  <si>
    <t>UCZZ</t>
  </si>
  <si>
    <t>CQZZ</t>
  </si>
  <si>
    <t>Emerald-Round Brc</t>
  </si>
  <si>
    <t>J250000122458</t>
  </si>
  <si>
    <t>1/5</t>
  </si>
  <si>
    <t>Cts : 6.72/Pcs: 54</t>
  </si>
  <si>
    <t>+11-12</t>
  </si>
  <si>
    <t>CCCC</t>
  </si>
  <si>
    <t>Emerald Braclet</t>
  </si>
  <si>
    <t>J250000112875</t>
  </si>
  <si>
    <t>FG VVS-VS</t>
  </si>
  <si>
    <t>CQHZ</t>
  </si>
  <si>
    <t>Princess-Emd-Mq Braclet</t>
  </si>
  <si>
    <t>J250000112854</t>
  </si>
  <si>
    <t>IJ SI</t>
  </si>
  <si>
    <t>EF VS-SI</t>
  </si>
  <si>
    <t>Cts : 5.05/Pcs : 34</t>
  </si>
  <si>
    <t>Marquise</t>
  </si>
  <si>
    <t>FG VS-SI</t>
  </si>
  <si>
    <t>Pears-Marquise Braclet</t>
  </si>
  <si>
    <t>J250000112860</t>
  </si>
  <si>
    <t>Pear</t>
  </si>
  <si>
    <t>Cts : 5.53/Pcs : 28</t>
  </si>
  <si>
    <t>UDCZ</t>
  </si>
  <si>
    <t>CQDC</t>
  </si>
  <si>
    <t>CCZZ</t>
  </si>
  <si>
    <t>CCSC</t>
  </si>
  <si>
    <t>CXDC</t>
  </si>
  <si>
    <t>Fancy Pear - Wht Pear Brc</t>
  </si>
  <si>
    <t>J250000122463</t>
  </si>
  <si>
    <t>Fncy Pear</t>
  </si>
  <si>
    <t>2ct</t>
  </si>
  <si>
    <t xml:space="preserve">LTC VVS </t>
  </si>
  <si>
    <t>Cts : 5.74/Pcs: 31</t>
  </si>
  <si>
    <t>Pears</t>
  </si>
  <si>
    <t>EF SI</t>
  </si>
  <si>
    <t>CDZZZ</t>
  </si>
  <si>
    <t>CQNT</t>
  </si>
  <si>
    <t>Emerald-Heart Brc</t>
  </si>
  <si>
    <t>J250000122466</t>
  </si>
  <si>
    <t>Cts : 7.49/Pcs: 42</t>
  </si>
  <si>
    <t>Heart</t>
  </si>
  <si>
    <t>1/6</t>
  </si>
  <si>
    <t>CXZZ</t>
  </si>
  <si>
    <t>Fncy Heart-Round Brc</t>
  </si>
  <si>
    <t>J250000089663</t>
  </si>
  <si>
    <t>Fncy Hearts</t>
  </si>
  <si>
    <t>1/3</t>
  </si>
  <si>
    <t>FY VVS-VS</t>
  </si>
  <si>
    <t>Rounds</t>
  </si>
  <si>
    <t>3/8</t>
  </si>
  <si>
    <t>HI VVS-VS</t>
  </si>
  <si>
    <t>Cts : 9.05  / Pcs : 43</t>
  </si>
  <si>
    <t>+11.50-12</t>
  </si>
  <si>
    <t>CCUZ</t>
  </si>
  <si>
    <t>CSZZ</t>
  </si>
  <si>
    <t>Emerald Brc (Frame)</t>
  </si>
  <si>
    <t>J250000084449</t>
  </si>
  <si>
    <t>Cts : 9.79/Pcs: 315</t>
  </si>
  <si>
    <t>+000-00</t>
  </si>
  <si>
    <t>CCCZ</t>
  </si>
  <si>
    <t>Gold/gm</t>
  </si>
  <si>
    <t>70% Graduation Necklace Rounds</t>
  </si>
  <si>
    <t>J250000119838</t>
  </si>
  <si>
    <t>Cts : 11.67 / Pcs : 107</t>
  </si>
  <si>
    <t>12 inch Dia + 5 Inch Gold=17 Inch</t>
  </si>
  <si>
    <t>CXCC</t>
  </si>
  <si>
    <t xml:space="preserve">EF VS-SI </t>
  </si>
  <si>
    <t>50</t>
  </si>
  <si>
    <t>45-49</t>
  </si>
  <si>
    <t>1/4</t>
  </si>
  <si>
    <t>+12-14</t>
  </si>
  <si>
    <t>+8-11</t>
  </si>
  <si>
    <t>+6.50-8</t>
  </si>
  <si>
    <t>CUSZZ</t>
  </si>
  <si>
    <t>CHCZ</t>
  </si>
  <si>
    <t>CSCZ</t>
  </si>
  <si>
    <t>CCXZ</t>
  </si>
  <si>
    <t>CQXC</t>
  </si>
  <si>
    <t>CTXC</t>
  </si>
  <si>
    <t>Full Graduation Necklace</t>
  </si>
  <si>
    <t>J250000161744</t>
  </si>
  <si>
    <t>Cts : 13.11/ Pcs : 153</t>
  </si>
  <si>
    <t>17 Inch</t>
  </si>
  <si>
    <t>80</t>
  </si>
  <si>
    <t>1/2</t>
  </si>
  <si>
    <t>+14</t>
  </si>
  <si>
    <t>CUZSC</t>
  </si>
  <si>
    <t>CQSC</t>
  </si>
  <si>
    <t>CQCC</t>
  </si>
  <si>
    <t>(1+2+3+4)</t>
  </si>
  <si>
    <t>18k Jewellery Studded in Natural Polished Diamonds at USD $</t>
  </si>
  <si>
    <t>Packing List of Beladamaz Jewellery Fzco</t>
  </si>
  <si>
    <t>Note : All Original Hrd Certs has been 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</si>
</sst>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&quot;$&quot;#,##0.00"/>
    <numFmt numFmtId="166" formatCode="[$$-1009]#,##0.00"/>
    <numFmt numFmtId="167" formatCode="#,##0.000"/>
  </numFmts>
  <fonts count="16" x14ac:knownFonts="1">
    <font>
      <sz val="11"/>
      <color theme="1"/>
      <name val="Calibri"/>
      <family val="2"/>
      <scheme val="minor"/>
    </font>
    <font>
      <b/>
      <sz val="9"/>
      <name val="Cambria"/>
      <family val="1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70C0"/>
      <name val="Cambria"/>
      <family val="1"/>
    </font>
    <font>
      <b/>
      <sz val="9"/>
      <color theme="1"/>
      <name val="Cambria"/>
      <family val="1"/>
    </font>
    <font>
      <b/>
      <sz val="9"/>
      <color theme="1" tint="4.9989318521683403E-2"/>
      <name val="Cambria"/>
      <family val="1"/>
    </font>
    <font>
      <sz val="9"/>
      <name val="Cambria"/>
      <family val="1"/>
    </font>
    <font>
      <sz val="9"/>
      <color theme="1"/>
      <name val="Cambria"/>
      <family val="1"/>
    </font>
    <font>
      <u/>
      <sz val="9"/>
      <color indexed="12"/>
      <name val="Cambria"/>
      <family val="1"/>
    </font>
    <font>
      <sz val="9"/>
      <color rgb="FF0070C0"/>
      <name val="Cambria"/>
      <family val="1"/>
    </font>
    <font>
      <sz val="9"/>
      <color theme="1" tint="4.9989318521683403E-2"/>
      <name val="Cambria"/>
      <family val="1"/>
    </font>
    <font>
      <sz val="9"/>
      <color rgb="FFFF0000"/>
      <name val="Cambria"/>
      <family val="1"/>
    </font>
    <font>
      <u/>
      <sz val="9"/>
      <color theme="10"/>
      <name val="Cambria"/>
      <family val="1"/>
    </font>
    <font>
      <b/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4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2" fontId="8" fillId="0" borderId="3" xfId="0" applyNumberFormat="1" applyFont="1" applyBorder="1" applyAlignment="1" applyProtection="1">
      <alignment horizontal="center" vertical="center"/>
      <protection locked="0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4" fontId="8" fillId="0" borderId="3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10" fillId="0" borderId="4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164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49" fontId="12" fillId="0" borderId="16" xfId="0" applyNumberFormat="1" applyFont="1" applyBorder="1" applyAlignment="1">
      <alignment horizontal="left" vertical="center"/>
    </xf>
    <xf numFmtId="164" fontId="12" fillId="0" borderId="16" xfId="0" applyNumberFormat="1" applyFont="1" applyBorder="1" applyAlignment="1">
      <alignment horizontal="center" vertical="center"/>
    </xf>
    <xf numFmtId="165" fontId="12" fillId="0" borderId="16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167" fontId="8" fillId="0" borderId="16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49" fontId="12" fillId="0" borderId="13" xfId="0" applyNumberFormat="1" applyFont="1" applyBorder="1" applyAlignment="1">
      <alignment horizontal="left" vertical="center"/>
    </xf>
    <xf numFmtId="165" fontId="12" fillId="0" borderId="1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2" fontId="8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165" fontId="8" fillId="0" borderId="16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 applyProtection="1">
      <alignment horizontal="center" vertical="center"/>
      <protection locked="0"/>
    </xf>
    <xf numFmtId="165" fontId="8" fillId="0" borderId="16" xfId="0" applyNumberFormat="1" applyFont="1" applyBorder="1" applyAlignment="1" applyProtection="1">
      <alignment horizontal="center" vertical="center"/>
      <protection locked="0"/>
    </xf>
    <xf numFmtId="165" fontId="5" fillId="0" borderId="17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4" fillId="0" borderId="4" xfId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2" fontId="8" fillId="0" borderId="4" xfId="0" applyNumberFormat="1" applyFont="1" applyBorder="1" applyAlignment="1" applyProtection="1">
      <alignment horizontal="center" vertical="center"/>
      <protection locked="0"/>
    </xf>
    <xf numFmtId="165" fontId="8" fillId="0" borderId="4" xfId="0" applyNumberFormat="1" applyFont="1" applyBorder="1" applyAlignment="1" applyProtection="1">
      <alignment horizontal="center" vertical="center"/>
      <protection locked="0"/>
    </xf>
    <xf numFmtId="4" fontId="8" fillId="0" borderId="4" xfId="0" applyNumberFormat="1" applyFont="1" applyBorder="1" applyAlignment="1" applyProtection="1">
      <alignment horizontal="center" vertical="center"/>
      <protection locked="0"/>
    </xf>
    <xf numFmtId="165" fontId="11" fillId="0" borderId="6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65" fontId="11" fillId="0" borderId="8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2" fontId="8" fillId="0" borderId="13" xfId="0" applyNumberFormat="1" applyFont="1" applyBorder="1" applyAlignment="1" applyProtection="1">
      <alignment horizontal="center" vertical="center"/>
      <protection locked="0"/>
    </xf>
    <xf numFmtId="4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5" fillId="0" borderId="14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/>
    <xf numFmtId="49" fontId="8" fillId="0" borderId="16" xfId="0" applyNumberFormat="1" applyFont="1" applyBorder="1" applyAlignment="1" applyProtection="1">
      <alignment horizontal="left" vertical="center"/>
      <protection locked="0"/>
    </xf>
    <xf numFmtId="164" fontId="8" fillId="0" borderId="16" xfId="0" applyNumberFormat="1" applyFont="1" applyBorder="1" applyAlignment="1" applyProtection="1">
      <alignment horizontal="center" vertical="center"/>
      <protection locked="0"/>
    </xf>
    <xf numFmtId="165" fontId="11" fillId="0" borderId="17" xfId="0" applyNumberFormat="1" applyFont="1" applyBorder="1" applyAlignment="1" applyProtection="1">
      <alignment horizontal="center" vertical="center"/>
      <protection locked="0"/>
    </xf>
    <xf numFmtId="167" fontId="8" fillId="0" borderId="13" xfId="0" applyNumberFormat="1" applyFont="1" applyBorder="1" applyAlignment="1" applyProtection="1">
      <alignment horizontal="center" vertical="center"/>
      <protection locked="0"/>
    </xf>
    <xf numFmtId="0" fontId="9" fillId="0" borderId="15" xfId="0" applyFont="1" applyBorder="1"/>
    <xf numFmtId="0" fontId="9" fillId="0" borderId="16" xfId="0" applyFont="1" applyBorder="1" applyAlignment="1">
      <alignment horizontal="left"/>
    </xf>
    <xf numFmtId="0" fontId="11" fillId="0" borderId="17" xfId="0" applyFont="1" applyBorder="1"/>
    <xf numFmtId="164" fontId="12" fillId="0" borderId="4" xfId="0" applyNumberFormat="1" applyFont="1" applyBorder="1" applyAlignment="1">
      <alignment horizontal="center" vertical="center"/>
    </xf>
    <xf numFmtId="167" fontId="12" fillId="0" borderId="4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167" fontId="12" fillId="0" borderId="1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7" fontId="12" fillId="0" borderId="1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3" fillId="0" borderId="13" xfId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0" fillId="0" borderId="10" xfId="1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left" vertical="center"/>
    </xf>
    <xf numFmtId="164" fontId="8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2" fontId="7" fillId="0" borderId="16" xfId="0" applyNumberFormat="1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left" vertical="center"/>
    </xf>
    <xf numFmtId="2" fontId="7" fillId="0" borderId="13" xfId="0" applyNumberFormat="1" applyFont="1" applyBorder="1" applyAlignment="1">
      <alignment horizontal="left" vertical="center"/>
    </xf>
    <xf numFmtId="2" fontId="7" fillId="0" borderId="10" xfId="0" applyNumberFormat="1" applyFont="1" applyBorder="1" applyAlignment="1">
      <alignment horizontal="left" vertical="center"/>
    </xf>
    <xf numFmtId="0" fontId="6" fillId="0" borderId="16" xfId="0" applyFont="1" applyBorder="1"/>
    <xf numFmtId="2" fontId="7" fillId="0" borderId="3" xfId="0" applyNumberFormat="1" applyFont="1" applyBorder="1" applyAlignment="1">
      <alignment horizontal="left" vertical="center"/>
    </xf>
    <xf numFmtId="2" fontId="1" fillId="0" borderId="4" xfId="0" applyNumberFormat="1" applyFont="1" applyBorder="1" applyAlignment="1">
      <alignment horizontal="left" vertical="center"/>
    </xf>
    <xf numFmtId="2" fontId="1" fillId="0" borderId="13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2" fontId="1" fillId="0" borderId="4" xfId="0" applyNumberFormat="1" applyFont="1" applyBorder="1" applyAlignment="1" applyProtection="1">
      <alignment horizontal="left" vertical="center"/>
      <protection locked="0"/>
    </xf>
    <xf numFmtId="2" fontId="1" fillId="0" borderId="3" xfId="0" applyNumberFormat="1" applyFont="1" applyBorder="1" applyAlignment="1" applyProtection="1">
      <alignment horizontal="left" vertical="center"/>
      <protection locked="0"/>
    </xf>
    <xf numFmtId="2" fontId="1" fillId="0" borderId="13" xfId="0" applyNumberFormat="1" applyFont="1" applyBorder="1" applyAlignment="1" applyProtection="1">
      <alignment horizontal="left" vertical="center"/>
      <protection locked="0"/>
    </xf>
    <xf numFmtId="2" fontId="1" fillId="0" borderId="16" xfId="0" applyNumberFormat="1" applyFont="1" applyBorder="1" applyAlignment="1" applyProtection="1">
      <alignment horizontal="left" vertical="center"/>
      <protection locked="0"/>
    </xf>
    <xf numFmtId="166" fontId="5" fillId="0" borderId="4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5" fillId="0" borderId="16" xfId="0" applyNumberFormat="1" applyFont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0" fontId="5" fillId="0" borderId="16" xfId="0" applyFont="1" applyBorder="1"/>
    <xf numFmtId="2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3" xfId="0" applyNumberFormat="1" applyFont="1" applyBorder="1" applyAlignment="1" applyProtection="1">
      <alignment horizontal="center" vertical="center"/>
      <protection locked="0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2" fontId="5" fillId="0" borderId="16" xfId="0" applyNumberFormat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9" fillId="0" borderId="16" xfId="0" applyFont="1" applyFill="1" applyBorder="1"/>
    <xf numFmtId="0" fontId="8" fillId="0" borderId="3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>
        <bottom style="thin">
          <color indexed="64"/>
        </bottom>
      </border>
    </dxf>
    <dxf>
      <numFmt numFmtId="165" formatCode="&quot;$&quot;#,##0.0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0.0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border>
        <top style="hair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338667</xdr:colOff>
      <xdr:row>14</xdr:row>
      <xdr:rowOff>177800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761251-9386-4C4C-ADA8-D06C848C5734}"/>
            </a:ext>
          </a:extLst>
        </xdr:cNvPr>
        <xdr:cNvSpPr txBox="1"/>
      </xdr:nvSpPr>
      <xdr:spPr>
        <a:xfrm>
          <a:off x="3104727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E" sz="1100"/>
        </a:p>
      </xdr:txBody>
    </xdr:sp>
    <xdr:clientData/>
  </xdr:oneCellAnchor>
  <xdr:oneCellAnchor>
    <xdr:from>
      <xdr:col>2</xdr:col>
      <xdr:colOff>338667</xdr:colOff>
      <xdr:row>26</xdr:row>
      <xdr:rowOff>177800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A80AEB-CC20-4F77-8E3D-98BF81755777}"/>
            </a:ext>
          </a:extLst>
        </xdr:cNvPr>
        <xdr:cNvSpPr txBox="1"/>
      </xdr:nvSpPr>
      <xdr:spPr>
        <a:xfrm>
          <a:off x="3104727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E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38D11C-718D-4F59-975D-AC4CBCF7C443}" name="Table1" displayName="Table1" ref="A4:T59" totalsRowCount="1" headerRowDxfId="5" dataDxfId="45" totalsRowDxfId="7" headerRowBorderDxfId="6" tableBorderDxfId="44" totalsRowBorderDxfId="43">
  <autoFilter ref="A4:T58" xr:uid="{E138D11C-718D-4F59-975D-AC4CBCF7C443}"/>
  <tableColumns count="20">
    <tableColumn id="1" xr3:uid="{0ECC75B4-6254-46DD-B898-DEB37E5F15AC}" name="Sr" totalsRowFunction="sum" dataDxfId="42" totalsRowDxfId="41"/>
    <tableColumn id="2" xr3:uid="{9CF0C104-1F13-4C58-ACD4-3EC0EA7F5AA4}" name="ITEM" dataDxfId="40" totalsRowDxfId="39"/>
    <tableColumn id="3" xr3:uid="{7A5E96D2-937B-4384-80B3-1F8D9001CFD4}" name="LAB" dataDxfId="38" totalsRowDxfId="37"/>
    <tableColumn id="4" xr3:uid="{842C87AD-E0C9-48E4-AB2D-8EB5F2661049}" name="Cert Number" dataDxfId="36" totalsRowDxfId="35"/>
    <tableColumn id="5" xr3:uid="{324FB033-C14C-4BF3-8E8D-93D55A63B2D2}" name="Parcel Id" dataDxfId="34" totalsRowDxfId="33"/>
    <tableColumn id="6" xr3:uid="{01EB3251-D7C7-4CE5-855E-3F2982DC4F10}" name="Size2" dataDxfId="32" totalsRowDxfId="31"/>
    <tableColumn id="7" xr3:uid="{DE11B8CA-07F8-41E6-8EEF-E9221E3EE033}" name="Avg Pts" dataDxfId="30" totalsRowDxfId="29">
      <calculatedColumnFormula>I5/H5</calculatedColumnFormula>
    </tableColumn>
    <tableColumn id="8" xr3:uid="{3CC9CDFA-D711-440E-B236-D81746CB4EFE}" name="No.Pcs" totalsRowFunction="sum" dataDxfId="28" totalsRowDxfId="27"/>
    <tableColumn id="9" xr3:uid="{F9EB0B12-4493-4353-B33C-1610CCA390EE}" name="Diam Cts" totalsRowFunction="sum" dataDxfId="4" totalsRowDxfId="26"/>
    <tableColumn id="10" xr3:uid="{39E10198-5872-4066-9366-00175962F31B}" name="Col - Clarity" dataDxfId="3" totalsRowDxfId="25"/>
    <tableColumn id="11" xr3:uid="{77E38E21-6DDC-4A46-8839-CA5AD689F3D6}" name="LOT" dataDxfId="2" totalsRowDxfId="24"/>
    <tableColumn id="12" xr3:uid="{14A65024-AD30-4586-8DCD-D58A67E0257D}" name="Per/ct" dataDxfId="0" totalsRowDxfId="23"/>
    <tableColumn id="13" xr3:uid="{6B73C289-38D3-450F-A1D4-809208B2EBD7}" name="Diam Total" totalsRowFunction="sum" dataDxfId="1" totalsRowDxfId="22">
      <calculatedColumnFormula>L5*I5</calculatedColumnFormula>
    </tableColumn>
    <tableColumn id="14" xr3:uid="{C9812C89-2D71-46E3-92DD-86DC59B74756}" name="Gold/gm" dataDxfId="21" totalsRowDxfId="20"/>
    <tableColumn id="15" xr3:uid="{DAD4AE29-B1C0-48B9-BE88-902A0688A4FC}" name="Gross Gm" totalsRowFunction="sum" dataDxfId="19" totalsRowDxfId="18"/>
    <tableColumn id="16" xr3:uid="{CEC792DA-19CC-4F59-9D93-9CAF02D0C058}" name="Net Gm" totalsRowFunction="sum" dataDxfId="17" totalsRowDxfId="16"/>
    <tableColumn id="17" xr3:uid="{47135E1F-C155-4B88-A80E-D4A1DA578A4E}" name="Gold Total" totalsRowFunction="sum" dataDxfId="15" totalsRowDxfId="14"/>
    <tableColumn id="18" xr3:uid="{9C1024B3-1190-4270-864E-A9C69818107C}" name="Labour" totalsRowFunction="sum" dataDxfId="13" totalsRowDxfId="12"/>
    <tableColumn id="19" xr3:uid="{EE766943-B07C-4C96-8719-E5CB4367C300}" name="Cert Exp" totalsRowFunction="sum" dataDxfId="11" totalsRowDxfId="10"/>
    <tableColumn id="20" xr3:uid="{2265463E-A375-4EBE-B2F5-A83C59140EBD}" name="Total Amt" totalsRowFunction="sum" dataDxfId="9" totalsRowDxfId="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tonia.aspgulf.net/certificate/J250000122466-7.49ct-42pcs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antonia.aspgulf.net/certificate/J250000122458-6.72ct-54pcs.pdf" TargetMode="External"/><Relationship Id="rId7" Type="http://schemas.openxmlformats.org/officeDocument/2006/relationships/hyperlink" Target="https://antonia.aspgulf.net/certificate/J250000122463%205.74ct-31pcs.pdf" TargetMode="External"/><Relationship Id="rId12" Type="http://schemas.openxmlformats.org/officeDocument/2006/relationships/hyperlink" Target="https://antonia.aspgulf.net/certificate/J250000161744%20153pcs-13.11ct.pdf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antonia.aspgulf.net/certificate/J250000122464%206.21ct-51pcs.pdf" TargetMode="External"/><Relationship Id="rId16" Type="http://schemas.openxmlformats.org/officeDocument/2006/relationships/table" Target="../tables/table1.xml"/><Relationship Id="rId1" Type="http://schemas.openxmlformats.org/officeDocument/2006/relationships/hyperlink" Target="https://antonia.aspgulf.net/certificate/J250000130901%204.74ct-56pcs.pdf" TargetMode="External"/><Relationship Id="rId6" Type="http://schemas.openxmlformats.org/officeDocument/2006/relationships/hyperlink" Target="https://antonia.aspgulf.net/video/J250000112860%205.53ct.pdf" TargetMode="External"/><Relationship Id="rId11" Type="http://schemas.openxmlformats.org/officeDocument/2006/relationships/hyperlink" Target="https://antonia.aspgulf.net/certificate/J250000119838%2011.67ct%20EF%20VS-SI.pdf" TargetMode="External"/><Relationship Id="rId5" Type="http://schemas.openxmlformats.org/officeDocument/2006/relationships/hyperlink" Target="https://antonia.aspgulf.net/certificate/J250000112854%205.05ct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antonia.aspgulf.net/certificate/J250000084449%20EF%20VVS-VS%209.79ct.pdf" TargetMode="External"/><Relationship Id="rId4" Type="http://schemas.openxmlformats.org/officeDocument/2006/relationships/hyperlink" Target="https://antonia.aspgulf.net/certificate/J250000112875%208.30ct.pdf" TargetMode="External"/><Relationship Id="rId9" Type="http://schemas.openxmlformats.org/officeDocument/2006/relationships/hyperlink" Target="https://antonia.aspgulf.net/certificate/J250000089663-43pcs-9.05ct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E23F-CE10-451A-97C1-05087E294896}">
  <dimension ref="A2:T61"/>
  <sheetViews>
    <sheetView tabSelected="1" zoomScaleNormal="100" workbookViewId="0">
      <selection activeCell="M12" sqref="M12"/>
    </sheetView>
  </sheetViews>
  <sheetFormatPr defaultColWidth="8.88671875" defaultRowHeight="16.2" customHeight="1" x14ac:dyDescent="0.2"/>
  <cols>
    <col min="1" max="1" width="3.44140625" style="1" customWidth="1"/>
    <col min="2" max="2" width="24.6640625" style="1" bestFit="1" customWidth="1"/>
    <col min="3" max="3" width="6.44140625" style="1" customWidth="1"/>
    <col min="4" max="4" width="12.6640625" style="1" customWidth="1"/>
    <col min="5" max="5" width="9.6640625" style="1" customWidth="1"/>
    <col min="6" max="6" width="8.88671875" style="1"/>
    <col min="7" max="7" width="8.44140625" style="1" customWidth="1"/>
    <col min="8" max="8" width="5.88671875" style="1" customWidth="1"/>
    <col min="9" max="9" width="8.21875" style="1" customWidth="1"/>
    <col min="10" max="10" width="11.88671875" style="1" customWidth="1"/>
    <col min="11" max="11" width="6.88671875" style="1" customWidth="1"/>
    <col min="12" max="12" width="9" style="1" bestFit="1" customWidth="1"/>
    <col min="13" max="13" width="10.44140625" style="1" customWidth="1"/>
    <col min="14" max="14" width="7.33203125" style="1" customWidth="1"/>
    <col min="15" max="15" width="8.5546875" style="1" customWidth="1"/>
    <col min="16" max="16" width="8.33203125" style="1" customWidth="1"/>
    <col min="17" max="17" width="11" style="1" customWidth="1"/>
    <col min="18" max="18" width="9" style="1" bestFit="1" customWidth="1"/>
    <col min="19" max="19" width="9.33203125" style="1" customWidth="1"/>
    <col min="20" max="20" width="10.44140625" style="1" customWidth="1"/>
    <col min="21" max="16384" width="8.88671875" style="1"/>
  </cols>
  <sheetData>
    <row r="2" spans="1:20" ht="16.2" customHeight="1" x14ac:dyDescent="0.2">
      <c r="A2" s="173" t="s">
        <v>130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0" ht="16.2" customHeight="1" x14ac:dyDescent="0.2">
      <c r="A3" s="4" t="s">
        <v>129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6.2" customHeight="1" x14ac:dyDescent="0.2">
      <c r="A4" s="22" t="s">
        <v>0</v>
      </c>
      <c r="B4" s="23" t="s">
        <v>1</v>
      </c>
      <c r="C4" s="24" t="s">
        <v>2</v>
      </c>
      <c r="D4" s="24" t="s">
        <v>3</v>
      </c>
      <c r="E4" s="23" t="s">
        <v>4</v>
      </c>
      <c r="F4" s="25" t="s">
        <v>5</v>
      </c>
      <c r="G4" s="26" t="s">
        <v>6</v>
      </c>
      <c r="H4" s="24" t="s">
        <v>7</v>
      </c>
      <c r="I4" s="24" t="s">
        <v>8</v>
      </c>
      <c r="J4" s="23" t="s">
        <v>9</v>
      </c>
      <c r="K4" s="24" t="s">
        <v>10</v>
      </c>
      <c r="L4" s="24" t="s">
        <v>11</v>
      </c>
      <c r="M4" s="27" t="s">
        <v>12</v>
      </c>
      <c r="N4" s="27" t="s">
        <v>99</v>
      </c>
      <c r="O4" s="28" t="s">
        <v>13</v>
      </c>
      <c r="P4" s="29" t="s">
        <v>14</v>
      </c>
      <c r="Q4" s="27" t="s">
        <v>15</v>
      </c>
      <c r="R4" s="27" t="s">
        <v>16</v>
      </c>
      <c r="S4" s="27" t="s">
        <v>17</v>
      </c>
      <c r="T4" s="30" t="s">
        <v>18</v>
      </c>
    </row>
    <row r="5" spans="1:20" ht="16.2" customHeight="1" x14ac:dyDescent="0.2">
      <c r="A5" s="31">
        <v>1</v>
      </c>
      <c r="B5" s="32" t="s">
        <v>19</v>
      </c>
      <c r="C5" s="33" t="s">
        <v>20</v>
      </c>
      <c r="D5" s="162" t="s">
        <v>21</v>
      </c>
      <c r="E5" s="32" t="s">
        <v>22</v>
      </c>
      <c r="F5" s="35" t="s">
        <v>23</v>
      </c>
      <c r="G5" s="36">
        <f>I5/H5</f>
        <v>1</v>
      </c>
      <c r="H5" s="34">
        <v>1</v>
      </c>
      <c r="I5" s="37">
        <v>1</v>
      </c>
      <c r="J5" s="135" t="s">
        <v>24</v>
      </c>
      <c r="K5" s="34" t="s">
        <v>30</v>
      </c>
      <c r="L5" s="149">
        <v>1500</v>
      </c>
      <c r="M5" s="38">
        <f>L5*I5</f>
        <v>1500</v>
      </c>
      <c r="N5" s="38"/>
      <c r="O5" s="37"/>
      <c r="P5" s="39"/>
      <c r="Q5" s="38"/>
      <c r="R5" s="38"/>
      <c r="S5" s="38"/>
      <c r="T5" s="40"/>
    </row>
    <row r="6" spans="1:20" ht="16.2" customHeight="1" x14ac:dyDescent="0.2">
      <c r="A6" s="41"/>
      <c r="B6" s="5"/>
      <c r="C6" s="6"/>
      <c r="D6" s="163"/>
      <c r="E6" s="5" t="s">
        <v>22</v>
      </c>
      <c r="F6" s="7" t="s">
        <v>25</v>
      </c>
      <c r="G6" s="8">
        <f>I6/H6</f>
        <v>3.6296296296296299E-2</v>
      </c>
      <c r="H6" s="6">
        <v>27</v>
      </c>
      <c r="I6" s="6">
        <v>0.98</v>
      </c>
      <c r="J6" s="74" t="s">
        <v>26</v>
      </c>
      <c r="K6" s="6" t="s">
        <v>31</v>
      </c>
      <c r="L6" s="150">
        <v>450</v>
      </c>
      <c r="M6" s="10">
        <f>L6*I6</f>
        <v>441</v>
      </c>
      <c r="N6" s="10"/>
      <c r="O6" s="9"/>
      <c r="P6" s="11"/>
      <c r="Q6" s="10"/>
      <c r="R6" s="10"/>
      <c r="S6" s="10"/>
      <c r="T6" s="42"/>
    </row>
    <row r="7" spans="1:20" ht="16.2" customHeight="1" x14ac:dyDescent="0.2">
      <c r="A7" s="43"/>
      <c r="B7" s="52" t="s">
        <v>27</v>
      </c>
      <c r="C7" s="45"/>
      <c r="D7" s="164"/>
      <c r="E7" s="44" t="s">
        <v>28</v>
      </c>
      <c r="F7" s="46" t="s">
        <v>29</v>
      </c>
      <c r="G7" s="47">
        <f>I7/H7</f>
        <v>9.857142857142856E-2</v>
      </c>
      <c r="H7" s="45">
        <v>28</v>
      </c>
      <c r="I7" s="45">
        <v>2.76</v>
      </c>
      <c r="J7" s="52" t="s">
        <v>26</v>
      </c>
      <c r="K7" s="45" t="s">
        <v>32</v>
      </c>
      <c r="L7" s="151">
        <v>500</v>
      </c>
      <c r="M7" s="48">
        <f>L7*I7</f>
        <v>1380</v>
      </c>
      <c r="N7" s="48">
        <v>122</v>
      </c>
      <c r="O7" s="49">
        <v>8.9499999999999993</v>
      </c>
      <c r="P7" s="50">
        <v>8.0020000000000007</v>
      </c>
      <c r="Q7" s="48">
        <f>P7*N7</f>
        <v>976.24400000000003</v>
      </c>
      <c r="R7" s="48">
        <v>205</v>
      </c>
      <c r="S7" s="48">
        <f>19.5*4.74</f>
        <v>92.43</v>
      </c>
      <c r="T7" s="51">
        <f>S7+R7+Q7+M5+M6+M7</f>
        <v>4594.674</v>
      </c>
    </row>
    <row r="8" spans="1:20" ht="16.2" customHeight="1" x14ac:dyDescent="0.2">
      <c r="A8" s="53"/>
      <c r="B8" s="54"/>
      <c r="C8" s="55"/>
      <c r="D8" s="165"/>
      <c r="E8" s="57"/>
      <c r="F8" s="58"/>
      <c r="G8" s="59"/>
      <c r="H8" s="55"/>
      <c r="I8" s="56"/>
      <c r="J8" s="136"/>
      <c r="K8" s="55"/>
      <c r="L8" s="152"/>
      <c r="M8" s="60"/>
      <c r="N8" s="60"/>
      <c r="O8" s="61"/>
      <c r="P8" s="62"/>
      <c r="Q8" s="60"/>
      <c r="R8" s="60"/>
      <c r="S8" s="60"/>
      <c r="T8" s="63"/>
    </row>
    <row r="9" spans="1:20" ht="16.2" customHeight="1" x14ac:dyDescent="0.2">
      <c r="A9" s="64">
        <v>2</v>
      </c>
      <c r="B9" s="32" t="s">
        <v>33</v>
      </c>
      <c r="C9" s="33" t="s">
        <v>20</v>
      </c>
      <c r="D9" s="162" t="s">
        <v>34</v>
      </c>
      <c r="E9" s="65" t="s">
        <v>28</v>
      </c>
      <c r="F9" s="66" t="s">
        <v>23</v>
      </c>
      <c r="G9" s="36">
        <f>I9/H9</f>
        <v>1.0900000000000001</v>
      </c>
      <c r="H9" s="67">
        <v>1</v>
      </c>
      <c r="I9" s="34">
        <v>1.0900000000000001</v>
      </c>
      <c r="J9" s="137" t="s">
        <v>24</v>
      </c>
      <c r="K9" s="67" t="s">
        <v>38</v>
      </c>
      <c r="L9" s="149">
        <v>1250</v>
      </c>
      <c r="M9" s="38">
        <f>L9*I9</f>
        <v>1362.5</v>
      </c>
      <c r="N9" s="38"/>
      <c r="O9" s="37"/>
      <c r="P9" s="39"/>
      <c r="Q9" s="68"/>
      <c r="R9" s="68"/>
      <c r="S9" s="68"/>
      <c r="T9" s="40"/>
    </row>
    <row r="10" spans="1:20" ht="16.2" customHeight="1" x14ac:dyDescent="0.2">
      <c r="A10" s="69"/>
      <c r="B10" s="52" t="s">
        <v>35</v>
      </c>
      <c r="C10" s="70"/>
      <c r="D10" s="164"/>
      <c r="E10" s="71" t="s">
        <v>36</v>
      </c>
      <c r="F10" s="72" t="s">
        <v>29</v>
      </c>
      <c r="G10" s="47">
        <f>I10/H10</f>
        <v>0.1024</v>
      </c>
      <c r="H10" s="70">
        <v>50</v>
      </c>
      <c r="I10" s="45">
        <v>5.12</v>
      </c>
      <c r="J10" s="138" t="s">
        <v>37</v>
      </c>
      <c r="K10" s="70" t="s">
        <v>39</v>
      </c>
      <c r="L10" s="151">
        <v>500</v>
      </c>
      <c r="M10" s="48">
        <f>L10*I10</f>
        <v>2560</v>
      </c>
      <c r="N10" s="48">
        <v>122</v>
      </c>
      <c r="O10" s="49">
        <v>10.06</v>
      </c>
      <c r="P10" s="50">
        <v>8.82</v>
      </c>
      <c r="Q10" s="48">
        <f>P10*N10</f>
        <v>1076.04</v>
      </c>
      <c r="R10" s="73">
        <v>225</v>
      </c>
      <c r="S10" s="73">
        <f>19.5*6.21</f>
        <v>121.095</v>
      </c>
      <c r="T10" s="51">
        <f>S10+R10+Q10+M9+M10</f>
        <v>5344.6350000000002</v>
      </c>
    </row>
    <row r="11" spans="1:20" ht="16.2" customHeight="1" x14ac:dyDescent="0.2">
      <c r="A11" s="53"/>
      <c r="B11" s="54"/>
      <c r="C11" s="134"/>
      <c r="D11" s="166"/>
      <c r="E11" s="57"/>
      <c r="F11" s="58"/>
      <c r="G11" s="59"/>
      <c r="H11" s="55"/>
      <c r="I11" s="61"/>
      <c r="J11" s="136"/>
      <c r="K11" s="55"/>
      <c r="L11" s="152"/>
      <c r="M11" s="60"/>
      <c r="N11" s="60"/>
      <c r="O11" s="61"/>
      <c r="P11" s="62"/>
      <c r="Q11" s="60"/>
      <c r="R11" s="60"/>
      <c r="S11" s="60"/>
      <c r="T11" s="63"/>
    </row>
    <row r="12" spans="1:20" ht="16.2" customHeight="1" x14ac:dyDescent="0.2">
      <c r="A12" s="64">
        <v>3</v>
      </c>
      <c r="B12" s="65" t="s">
        <v>40</v>
      </c>
      <c r="C12" s="33" t="s">
        <v>20</v>
      </c>
      <c r="D12" s="167" t="s">
        <v>41</v>
      </c>
      <c r="E12" s="65" t="s">
        <v>36</v>
      </c>
      <c r="F12" s="66" t="s">
        <v>42</v>
      </c>
      <c r="G12" s="36">
        <f>I12/H12</f>
        <v>0.20333333333333334</v>
      </c>
      <c r="H12" s="67">
        <v>18</v>
      </c>
      <c r="I12" s="37">
        <v>3.66</v>
      </c>
      <c r="J12" s="137" t="s">
        <v>37</v>
      </c>
      <c r="K12" s="67" t="s">
        <v>45</v>
      </c>
      <c r="L12" s="149">
        <v>700</v>
      </c>
      <c r="M12" s="38">
        <f>L12*I12</f>
        <v>2562</v>
      </c>
      <c r="N12" s="38"/>
      <c r="O12" s="112"/>
      <c r="P12" s="113"/>
      <c r="Q12" s="68"/>
      <c r="R12" s="68"/>
      <c r="S12" s="68"/>
      <c r="T12" s="40"/>
    </row>
    <row r="13" spans="1:20" ht="16.2" customHeight="1" x14ac:dyDescent="0.2">
      <c r="A13" s="69"/>
      <c r="B13" s="121" t="s">
        <v>43</v>
      </c>
      <c r="C13" s="122"/>
      <c r="D13" s="168"/>
      <c r="E13" s="71" t="s">
        <v>22</v>
      </c>
      <c r="F13" s="72" t="s">
        <v>44</v>
      </c>
      <c r="G13" s="47">
        <f>I13/H13</f>
        <v>8.5000000000000006E-2</v>
      </c>
      <c r="H13" s="70">
        <v>36</v>
      </c>
      <c r="I13" s="49">
        <v>3.06</v>
      </c>
      <c r="J13" s="138" t="s">
        <v>26</v>
      </c>
      <c r="K13" s="70" t="s">
        <v>32</v>
      </c>
      <c r="L13" s="151">
        <v>525</v>
      </c>
      <c r="M13" s="48">
        <f>L13*I13</f>
        <v>1606.5</v>
      </c>
      <c r="N13" s="48">
        <v>122</v>
      </c>
      <c r="O13" s="115">
        <v>11.38</v>
      </c>
      <c r="P13" s="116">
        <v>10.036</v>
      </c>
      <c r="Q13" s="48">
        <f>P13*N13</f>
        <v>1224.3920000000001</v>
      </c>
      <c r="R13" s="73">
        <v>225</v>
      </c>
      <c r="S13" s="73">
        <f>19.5*6.72</f>
        <v>131.04</v>
      </c>
      <c r="T13" s="51">
        <f>S13+R13+Q13+M12+M13</f>
        <v>5748.9319999999998</v>
      </c>
    </row>
    <row r="14" spans="1:20" ht="16.2" customHeight="1" x14ac:dyDescent="0.2">
      <c r="A14" s="53"/>
      <c r="B14" s="57"/>
      <c r="C14" s="118"/>
      <c r="D14" s="169"/>
      <c r="E14" s="57"/>
      <c r="F14" s="58"/>
      <c r="G14" s="119"/>
      <c r="H14" s="55"/>
      <c r="I14" s="61"/>
      <c r="J14" s="136"/>
      <c r="K14" s="55"/>
      <c r="L14" s="152"/>
      <c r="M14" s="81"/>
      <c r="N14" s="81"/>
      <c r="O14" s="59"/>
      <c r="P14" s="120"/>
      <c r="Q14" s="60"/>
      <c r="R14" s="60"/>
      <c r="S14" s="60"/>
      <c r="T14" s="63"/>
    </row>
    <row r="15" spans="1:20" ht="16.2" customHeight="1" x14ac:dyDescent="0.2">
      <c r="A15" s="123">
        <v>4</v>
      </c>
      <c r="B15" s="124" t="s">
        <v>46</v>
      </c>
      <c r="C15" s="125" t="s">
        <v>20</v>
      </c>
      <c r="D15" s="170" t="s">
        <v>47</v>
      </c>
      <c r="E15" s="124" t="s">
        <v>36</v>
      </c>
      <c r="F15" s="126" t="s">
        <v>42</v>
      </c>
      <c r="G15" s="127">
        <f>I15/H15</f>
        <v>0.18863636363636366</v>
      </c>
      <c r="H15" s="128">
        <v>44</v>
      </c>
      <c r="I15" s="129">
        <v>8.3000000000000007</v>
      </c>
      <c r="J15" s="139" t="s">
        <v>48</v>
      </c>
      <c r="K15" s="128" t="s">
        <v>49</v>
      </c>
      <c r="L15" s="153">
        <v>650</v>
      </c>
      <c r="M15" s="130">
        <f>L15*I15</f>
        <v>5395.0000000000009</v>
      </c>
      <c r="N15" s="130">
        <v>122</v>
      </c>
      <c r="O15" s="129">
        <v>8.7799999999999994</v>
      </c>
      <c r="P15" s="131">
        <v>7.12</v>
      </c>
      <c r="Q15" s="130">
        <f>P15*N15</f>
        <v>868.64</v>
      </c>
      <c r="R15" s="132">
        <v>225</v>
      </c>
      <c r="S15" s="132">
        <f>19.5*I15</f>
        <v>161.85000000000002</v>
      </c>
      <c r="T15" s="133">
        <f>S15+R15+Q15+M15</f>
        <v>6650.4900000000007</v>
      </c>
    </row>
    <row r="16" spans="1:20" ht="16.2" customHeight="1" x14ac:dyDescent="0.2">
      <c r="A16" s="109"/>
      <c r="B16" s="110"/>
      <c r="C16" s="104"/>
      <c r="D16" s="171"/>
      <c r="E16" s="110"/>
      <c r="F16" s="110"/>
      <c r="G16" s="104"/>
      <c r="H16" s="104"/>
      <c r="I16" s="104"/>
      <c r="J16" s="140"/>
      <c r="K16" s="104"/>
      <c r="L16" s="154"/>
      <c r="M16" s="104"/>
      <c r="N16" s="104"/>
      <c r="O16" s="104"/>
      <c r="P16" s="104"/>
      <c r="Q16" s="104"/>
      <c r="R16" s="104"/>
      <c r="S16" s="104"/>
      <c r="T16" s="111"/>
    </row>
    <row r="17" spans="1:20" ht="16.2" customHeight="1" x14ac:dyDescent="0.2">
      <c r="A17" s="64">
        <v>5</v>
      </c>
      <c r="B17" s="32" t="s">
        <v>50</v>
      </c>
      <c r="C17" s="33" t="s">
        <v>20</v>
      </c>
      <c r="D17" s="167" t="s">
        <v>51</v>
      </c>
      <c r="E17" s="65" t="s">
        <v>28</v>
      </c>
      <c r="F17" s="66" t="s">
        <v>23</v>
      </c>
      <c r="G17" s="36">
        <f>I17/H17</f>
        <v>1.03</v>
      </c>
      <c r="H17" s="67">
        <v>1</v>
      </c>
      <c r="I17" s="34">
        <v>1.03</v>
      </c>
      <c r="J17" s="137" t="s">
        <v>52</v>
      </c>
      <c r="K17" s="67" t="s">
        <v>61</v>
      </c>
      <c r="L17" s="149">
        <v>1100</v>
      </c>
      <c r="M17" s="38">
        <f>L17*I17</f>
        <v>1133</v>
      </c>
      <c r="N17" s="38"/>
      <c r="O17" s="37"/>
      <c r="P17" s="39"/>
      <c r="Q17" s="68"/>
      <c r="R17" s="68"/>
      <c r="S17" s="68"/>
      <c r="T17" s="40"/>
    </row>
    <row r="18" spans="1:20" ht="16.2" customHeight="1" x14ac:dyDescent="0.2">
      <c r="A18" s="117"/>
      <c r="B18" s="5"/>
      <c r="C18" s="12"/>
      <c r="D18" s="172"/>
      <c r="E18" s="13" t="s">
        <v>36</v>
      </c>
      <c r="F18" s="14" t="s">
        <v>29</v>
      </c>
      <c r="G18" s="8">
        <f>I18/H18</f>
        <v>0.12499999999999999</v>
      </c>
      <c r="H18" s="12">
        <v>16</v>
      </c>
      <c r="I18" s="9">
        <v>1.9999999999999998</v>
      </c>
      <c r="J18" s="141" t="s">
        <v>53</v>
      </c>
      <c r="K18" s="12" t="s">
        <v>62</v>
      </c>
      <c r="L18" s="150">
        <v>500</v>
      </c>
      <c r="M18" s="10">
        <f>L18*I18</f>
        <v>999.99999999999989</v>
      </c>
      <c r="N18" s="10"/>
      <c r="O18" s="9"/>
      <c r="P18" s="11"/>
      <c r="Q18" s="15"/>
      <c r="R18" s="15"/>
      <c r="S18" s="15"/>
      <c r="T18" s="42"/>
    </row>
    <row r="19" spans="1:20" ht="16.2" customHeight="1" x14ac:dyDescent="0.2">
      <c r="A19" s="69"/>
      <c r="B19" s="52" t="s">
        <v>54</v>
      </c>
      <c r="C19" s="70"/>
      <c r="D19" s="168"/>
      <c r="E19" s="71" t="s">
        <v>55</v>
      </c>
      <c r="F19" s="72" t="s">
        <v>29</v>
      </c>
      <c r="G19" s="47">
        <f>I19/H19</f>
        <v>0.1188235294117647</v>
      </c>
      <c r="H19" s="70">
        <v>17</v>
      </c>
      <c r="I19" s="45">
        <v>2.02</v>
      </c>
      <c r="J19" s="52" t="s">
        <v>56</v>
      </c>
      <c r="K19" s="70" t="s">
        <v>63</v>
      </c>
      <c r="L19" s="151">
        <v>575</v>
      </c>
      <c r="M19" s="48">
        <f>L19*I19</f>
        <v>1161.5</v>
      </c>
      <c r="N19" s="48">
        <v>122</v>
      </c>
      <c r="O19" s="49">
        <v>8.0399999999999991</v>
      </c>
      <c r="P19" s="50">
        <v>7.03</v>
      </c>
      <c r="Q19" s="48">
        <f>P19*N19</f>
        <v>857.66000000000008</v>
      </c>
      <c r="R19" s="73">
        <v>205</v>
      </c>
      <c r="S19" s="73">
        <f>19.5*5.05</f>
        <v>98.474999999999994</v>
      </c>
      <c r="T19" s="51">
        <f>S19+R19+Q19+M17+M18+M19</f>
        <v>4455.6350000000002</v>
      </c>
    </row>
    <row r="20" spans="1:20" ht="16.2" customHeight="1" x14ac:dyDescent="0.2">
      <c r="A20" s="109"/>
      <c r="B20" s="110"/>
      <c r="C20" s="104"/>
      <c r="D20" s="171"/>
      <c r="E20" s="110"/>
      <c r="F20" s="110"/>
      <c r="G20" s="104"/>
      <c r="H20" s="104"/>
      <c r="I20" s="104"/>
      <c r="J20" s="140"/>
      <c r="K20" s="104"/>
      <c r="L20" s="154"/>
      <c r="M20" s="104"/>
      <c r="N20" s="104"/>
      <c r="O20" s="104"/>
      <c r="P20" s="104"/>
      <c r="Q20" s="104"/>
      <c r="R20" s="104"/>
      <c r="S20" s="104"/>
      <c r="T20" s="111"/>
    </row>
    <row r="21" spans="1:20" ht="16.2" customHeight="1" x14ac:dyDescent="0.2">
      <c r="A21" s="64">
        <v>6</v>
      </c>
      <c r="B21" s="32" t="s">
        <v>57</v>
      </c>
      <c r="C21" s="33" t="s">
        <v>20</v>
      </c>
      <c r="D21" s="167" t="s">
        <v>58</v>
      </c>
      <c r="E21" s="65" t="s">
        <v>59</v>
      </c>
      <c r="F21" s="66" t="s">
        <v>42</v>
      </c>
      <c r="G21" s="36">
        <f>I21/H21</f>
        <v>0.19928571428571429</v>
      </c>
      <c r="H21" s="67">
        <v>14</v>
      </c>
      <c r="I21" s="34">
        <v>2.79</v>
      </c>
      <c r="J21" s="142" t="s">
        <v>53</v>
      </c>
      <c r="K21" s="67" t="s">
        <v>64</v>
      </c>
      <c r="L21" s="149">
        <v>675</v>
      </c>
      <c r="M21" s="38">
        <f>L21*I21</f>
        <v>1883.25</v>
      </c>
      <c r="N21" s="38"/>
      <c r="O21" s="37"/>
      <c r="P21" s="39"/>
      <c r="Q21" s="68"/>
      <c r="R21" s="68"/>
      <c r="S21" s="68"/>
      <c r="T21" s="40"/>
    </row>
    <row r="22" spans="1:20" ht="16.2" customHeight="1" x14ac:dyDescent="0.2">
      <c r="A22" s="69"/>
      <c r="B22" s="52" t="s">
        <v>60</v>
      </c>
      <c r="C22" s="70"/>
      <c r="D22" s="168"/>
      <c r="E22" s="71" t="s">
        <v>55</v>
      </c>
      <c r="F22" s="72" t="s">
        <v>42</v>
      </c>
      <c r="G22" s="47">
        <f>I22/H22</f>
        <v>0.19571428571428573</v>
      </c>
      <c r="H22" s="70">
        <v>14</v>
      </c>
      <c r="I22" s="45">
        <v>2.74</v>
      </c>
      <c r="J22" s="143" t="s">
        <v>26</v>
      </c>
      <c r="K22" s="70" t="s">
        <v>65</v>
      </c>
      <c r="L22" s="151">
        <v>725</v>
      </c>
      <c r="M22" s="48">
        <f>L22*I22</f>
        <v>1986.5000000000002</v>
      </c>
      <c r="N22" s="48">
        <v>122</v>
      </c>
      <c r="O22" s="49">
        <v>8.58</v>
      </c>
      <c r="P22" s="50">
        <v>7.4740000000000002</v>
      </c>
      <c r="Q22" s="48">
        <f>P22*N22</f>
        <v>911.82799999999997</v>
      </c>
      <c r="R22" s="73">
        <v>205</v>
      </c>
      <c r="S22" s="73">
        <f>19.5*5.53</f>
        <v>107.83500000000001</v>
      </c>
      <c r="T22" s="51">
        <f>S22+R22+Q22+M21+M22</f>
        <v>5094.4130000000005</v>
      </c>
    </row>
    <row r="23" spans="1:20" ht="16.2" customHeight="1" x14ac:dyDescent="0.2">
      <c r="A23" s="109"/>
      <c r="B23" s="110"/>
      <c r="C23" s="104"/>
      <c r="D23" s="171"/>
      <c r="E23" s="110"/>
      <c r="F23" s="110"/>
      <c r="G23" s="104"/>
      <c r="H23" s="104"/>
      <c r="I23" s="104"/>
      <c r="J23" s="140"/>
      <c r="K23" s="104"/>
      <c r="L23" s="154"/>
      <c r="M23" s="104"/>
      <c r="N23" s="104"/>
      <c r="O23" s="104"/>
      <c r="P23" s="104"/>
      <c r="Q23" s="104"/>
      <c r="R23" s="104"/>
      <c r="S23" s="104"/>
      <c r="T23" s="111"/>
    </row>
    <row r="24" spans="1:20" ht="16.2" customHeight="1" x14ac:dyDescent="0.2">
      <c r="A24" s="64">
        <v>7</v>
      </c>
      <c r="B24" s="65" t="s">
        <v>66</v>
      </c>
      <c r="C24" s="33" t="s">
        <v>20</v>
      </c>
      <c r="D24" s="167" t="s">
        <v>67</v>
      </c>
      <c r="E24" s="65" t="s">
        <v>68</v>
      </c>
      <c r="F24" s="66" t="s">
        <v>69</v>
      </c>
      <c r="G24" s="36">
        <f>I24/H24</f>
        <v>2.0099999999999998</v>
      </c>
      <c r="H24" s="67">
        <v>1</v>
      </c>
      <c r="I24" s="37">
        <v>2.0099999999999998</v>
      </c>
      <c r="J24" s="137" t="s">
        <v>70</v>
      </c>
      <c r="K24" s="67" t="s">
        <v>74</v>
      </c>
      <c r="L24" s="149">
        <v>1950</v>
      </c>
      <c r="M24" s="38">
        <f>L24*I24</f>
        <v>3919.4999999999995</v>
      </c>
      <c r="N24" s="38"/>
      <c r="O24" s="112"/>
      <c r="P24" s="113"/>
      <c r="Q24" s="68"/>
      <c r="R24" s="68"/>
      <c r="S24" s="68"/>
      <c r="T24" s="40"/>
    </row>
    <row r="25" spans="1:20" ht="16.2" customHeight="1" x14ac:dyDescent="0.2">
      <c r="A25" s="69"/>
      <c r="B25" s="121" t="s">
        <v>71</v>
      </c>
      <c r="C25" s="122"/>
      <c r="D25" s="168"/>
      <c r="E25" s="71" t="s">
        <v>72</v>
      </c>
      <c r="F25" s="72" t="s">
        <v>29</v>
      </c>
      <c r="G25" s="47">
        <f>I25/H25</f>
        <v>0.12433333333333334</v>
      </c>
      <c r="H25" s="70">
        <v>30</v>
      </c>
      <c r="I25" s="49">
        <v>3.73</v>
      </c>
      <c r="J25" s="138" t="s">
        <v>73</v>
      </c>
      <c r="K25" s="70" t="s">
        <v>75</v>
      </c>
      <c r="L25" s="151">
        <v>525</v>
      </c>
      <c r="M25" s="48">
        <f>L25*I25</f>
        <v>1958.25</v>
      </c>
      <c r="N25" s="48">
        <v>122</v>
      </c>
      <c r="O25" s="115">
        <v>9.61</v>
      </c>
      <c r="P25" s="116">
        <v>8.4619999999999997</v>
      </c>
      <c r="Q25" s="48">
        <f>P25*N25</f>
        <v>1032.364</v>
      </c>
      <c r="R25" s="73">
        <v>205</v>
      </c>
      <c r="S25" s="73">
        <f>19.5*5.74</f>
        <v>111.93</v>
      </c>
      <c r="T25" s="51">
        <f>S25+R25+Q25+M24+M25</f>
        <v>7227.0439999999999</v>
      </c>
    </row>
    <row r="26" spans="1:20" ht="16.2" customHeight="1" x14ac:dyDescent="0.2">
      <c r="A26" s="53"/>
      <c r="B26" s="57"/>
      <c r="C26" s="118"/>
      <c r="D26" s="169"/>
      <c r="E26" s="57"/>
      <c r="F26" s="58"/>
      <c r="G26" s="119"/>
      <c r="H26" s="55"/>
      <c r="I26" s="61"/>
      <c r="J26" s="136"/>
      <c r="K26" s="55"/>
      <c r="L26" s="152"/>
      <c r="M26" s="81"/>
      <c r="N26" s="81"/>
      <c r="O26" s="59"/>
      <c r="P26" s="120"/>
      <c r="Q26" s="60"/>
      <c r="R26" s="60"/>
      <c r="S26" s="60"/>
      <c r="T26" s="63"/>
    </row>
    <row r="27" spans="1:20" ht="16.2" customHeight="1" x14ac:dyDescent="0.2">
      <c r="A27" s="64">
        <v>8</v>
      </c>
      <c r="B27" s="65" t="s">
        <v>76</v>
      </c>
      <c r="C27" s="33" t="s">
        <v>20</v>
      </c>
      <c r="D27" s="167" t="s">
        <v>77</v>
      </c>
      <c r="E27" s="65" t="s">
        <v>36</v>
      </c>
      <c r="F27" s="66" t="s">
        <v>42</v>
      </c>
      <c r="G27" s="36">
        <f>I27/H27</f>
        <v>0.19285714285714287</v>
      </c>
      <c r="H27" s="67">
        <v>28</v>
      </c>
      <c r="I27" s="37">
        <v>5.4</v>
      </c>
      <c r="J27" s="137" t="s">
        <v>37</v>
      </c>
      <c r="K27" s="67" t="s">
        <v>45</v>
      </c>
      <c r="L27" s="149">
        <v>700</v>
      </c>
      <c r="M27" s="38">
        <f>L27*I27</f>
        <v>3780.0000000000005</v>
      </c>
      <c r="N27" s="38"/>
      <c r="O27" s="112"/>
      <c r="P27" s="113"/>
      <c r="Q27" s="68"/>
      <c r="R27" s="68"/>
      <c r="S27" s="68"/>
      <c r="T27" s="40"/>
    </row>
    <row r="28" spans="1:20" ht="16.2" customHeight="1" x14ac:dyDescent="0.2">
      <c r="A28" s="69"/>
      <c r="B28" s="121" t="s">
        <v>78</v>
      </c>
      <c r="C28" s="122"/>
      <c r="D28" s="168"/>
      <c r="E28" s="71" t="s">
        <v>79</v>
      </c>
      <c r="F28" s="72" t="s">
        <v>80</v>
      </c>
      <c r="G28" s="47">
        <f>I28/H28</f>
        <v>0.14928571428571427</v>
      </c>
      <c r="H28" s="70">
        <v>14</v>
      </c>
      <c r="I28" s="49">
        <v>2.09</v>
      </c>
      <c r="J28" s="138" t="s">
        <v>26</v>
      </c>
      <c r="K28" s="70" t="s">
        <v>81</v>
      </c>
      <c r="L28" s="151">
        <v>725</v>
      </c>
      <c r="M28" s="48">
        <f>L28*I28</f>
        <v>1515.25</v>
      </c>
      <c r="N28" s="48">
        <v>122</v>
      </c>
      <c r="O28" s="115">
        <v>10.79</v>
      </c>
      <c r="P28" s="116">
        <v>9.2919999999999998</v>
      </c>
      <c r="Q28" s="48">
        <f>P28*N28</f>
        <v>1133.624</v>
      </c>
      <c r="R28" s="73">
        <v>225</v>
      </c>
      <c r="S28" s="73">
        <f>19.5*7.49</f>
        <v>146.05500000000001</v>
      </c>
      <c r="T28" s="51">
        <f>S28+R28+Q28+M27+M28</f>
        <v>6799.9290000000001</v>
      </c>
    </row>
    <row r="29" spans="1:20" ht="16.2" customHeight="1" x14ac:dyDescent="0.2">
      <c r="A29" s="53"/>
      <c r="B29" s="57"/>
      <c r="C29" s="118"/>
      <c r="D29" s="169"/>
      <c r="E29" s="57"/>
      <c r="F29" s="58"/>
      <c r="G29" s="119"/>
      <c r="H29" s="55"/>
      <c r="I29" s="61"/>
      <c r="J29" s="136"/>
      <c r="K29" s="55"/>
      <c r="L29" s="152"/>
      <c r="M29" s="81"/>
      <c r="N29" s="81"/>
      <c r="O29" s="59"/>
      <c r="P29" s="120"/>
      <c r="Q29" s="60"/>
      <c r="R29" s="60"/>
      <c r="S29" s="60"/>
      <c r="T29" s="63"/>
    </row>
    <row r="30" spans="1:20" ht="16.2" customHeight="1" x14ac:dyDescent="0.2">
      <c r="A30" s="64">
        <v>9</v>
      </c>
      <c r="B30" s="32" t="s">
        <v>82</v>
      </c>
      <c r="C30" s="33" t="s">
        <v>20</v>
      </c>
      <c r="D30" s="167" t="s">
        <v>83</v>
      </c>
      <c r="E30" s="65" t="s">
        <v>84</v>
      </c>
      <c r="F30" s="66" t="s">
        <v>85</v>
      </c>
      <c r="G30" s="36">
        <f>I30/H30</f>
        <v>0.31071428571428578</v>
      </c>
      <c r="H30" s="67">
        <v>14</v>
      </c>
      <c r="I30" s="34">
        <v>4.3500000000000005</v>
      </c>
      <c r="J30" s="142" t="s">
        <v>86</v>
      </c>
      <c r="K30" s="67" t="s">
        <v>92</v>
      </c>
      <c r="L30" s="149">
        <v>650</v>
      </c>
      <c r="M30" s="38">
        <f>L30*I30</f>
        <v>2827.5000000000005</v>
      </c>
      <c r="N30" s="38"/>
      <c r="O30" s="37"/>
      <c r="P30" s="39"/>
      <c r="Q30" s="68"/>
      <c r="R30" s="68"/>
      <c r="S30" s="68"/>
      <c r="T30" s="40"/>
    </row>
    <row r="31" spans="1:20" ht="16.2" customHeight="1" x14ac:dyDescent="0.2">
      <c r="A31" s="117"/>
      <c r="B31" s="5"/>
      <c r="C31" s="12"/>
      <c r="D31" s="172"/>
      <c r="E31" s="13" t="s">
        <v>87</v>
      </c>
      <c r="F31" s="14" t="s">
        <v>88</v>
      </c>
      <c r="G31" s="8">
        <f>I31/H31</f>
        <v>0.39428571428571424</v>
      </c>
      <c r="H31" s="12">
        <v>7</v>
      </c>
      <c r="I31" s="6">
        <v>2.76</v>
      </c>
      <c r="J31" s="144" t="s">
        <v>89</v>
      </c>
      <c r="K31" s="12" t="s">
        <v>93</v>
      </c>
      <c r="L31" s="150">
        <v>725</v>
      </c>
      <c r="M31" s="10">
        <f>L31*I31</f>
        <v>2000.9999999999998</v>
      </c>
      <c r="N31" s="10"/>
      <c r="O31" s="9"/>
      <c r="P31" s="11"/>
      <c r="Q31" s="15"/>
      <c r="R31" s="15"/>
      <c r="S31" s="15"/>
      <c r="T31" s="42"/>
    </row>
    <row r="32" spans="1:20" ht="16.2" customHeight="1" x14ac:dyDescent="0.2">
      <c r="A32" s="69"/>
      <c r="B32" s="52" t="s">
        <v>90</v>
      </c>
      <c r="C32" s="70"/>
      <c r="D32" s="168"/>
      <c r="E32" s="71" t="s">
        <v>87</v>
      </c>
      <c r="F32" s="72" t="s">
        <v>91</v>
      </c>
      <c r="G32" s="47">
        <f>I32/H32</f>
        <v>8.8181818181818195E-2</v>
      </c>
      <c r="H32" s="70">
        <v>22</v>
      </c>
      <c r="I32" s="45">
        <v>1.9400000000000002</v>
      </c>
      <c r="J32" s="143" t="s">
        <v>56</v>
      </c>
      <c r="K32" s="70" t="s">
        <v>32</v>
      </c>
      <c r="L32" s="151">
        <v>525</v>
      </c>
      <c r="M32" s="48">
        <f>L32*I32</f>
        <v>1018.5000000000001</v>
      </c>
      <c r="N32" s="48">
        <v>122</v>
      </c>
      <c r="O32" s="49">
        <v>10.93</v>
      </c>
      <c r="P32" s="50">
        <v>9.1199999999999992</v>
      </c>
      <c r="Q32" s="48">
        <f>P32*N32</f>
        <v>1112.6399999999999</v>
      </c>
      <c r="R32" s="73">
        <v>225</v>
      </c>
      <c r="S32" s="73">
        <f>19.5*9.05</f>
        <v>176.47500000000002</v>
      </c>
      <c r="T32" s="51">
        <f>S32+R32+Q32+M30+M31+M32</f>
        <v>7361.1149999999998</v>
      </c>
    </row>
    <row r="33" spans="1:20" ht="16.2" customHeight="1" x14ac:dyDescent="0.2">
      <c r="A33" s="109"/>
      <c r="B33" s="110"/>
      <c r="C33" s="104"/>
      <c r="D33" s="171"/>
      <c r="E33" s="110"/>
      <c r="F33" s="110"/>
      <c r="G33" s="104"/>
      <c r="H33" s="104"/>
      <c r="I33" s="104"/>
      <c r="J33" s="140"/>
      <c r="K33" s="104"/>
      <c r="L33" s="154"/>
      <c r="M33" s="104"/>
      <c r="N33" s="104"/>
      <c r="O33" s="104"/>
      <c r="P33" s="104"/>
      <c r="Q33" s="104"/>
      <c r="R33" s="104"/>
      <c r="S33" s="104"/>
      <c r="T33" s="111"/>
    </row>
    <row r="34" spans="1:20" ht="16.2" customHeight="1" x14ac:dyDescent="0.2">
      <c r="A34" s="64">
        <v>10</v>
      </c>
      <c r="B34" s="65" t="s">
        <v>94</v>
      </c>
      <c r="C34" s="33" t="s">
        <v>20</v>
      </c>
      <c r="D34" s="167" t="s">
        <v>95</v>
      </c>
      <c r="E34" s="65" t="s">
        <v>36</v>
      </c>
      <c r="F34" s="66" t="s">
        <v>42</v>
      </c>
      <c r="G34" s="36">
        <f>I34/H34</f>
        <v>0.19488888888888889</v>
      </c>
      <c r="H34" s="67">
        <v>45</v>
      </c>
      <c r="I34" s="37">
        <v>8.77</v>
      </c>
      <c r="J34" s="137" t="s">
        <v>37</v>
      </c>
      <c r="K34" s="67" t="s">
        <v>98</v>
      </c>
      <c r="L34" s="149">
        <v>700</v>
      </c>
      <c r="M34" s="38">
        <f>L34*I34</f>
        <v>6139</v>
      </c>
      <c r="N34" s="38"/>
      <c r="O34" s="112"/>
      <c r="P34" s="113"/>
      <c r="Q34" s="68"/>
      <c r="R34" s="68"/>
      <c r="S34" s="68"/>
      <c r="T34" s="40"/>
    </row>
    <row r="35" spans="1:20" ht="16.2" customHeight="1" x14ac:dyDescent="0.2">
      <c r="A35" s="69"/>
      <c r="B35" s="52" t="s">
        <v>96</v>
      </c>
      <c r="C35" s="114"/>
      <c r="D35" s="168"/>
      <c r="E35" s="71" t="s">
        <v>87</v>
      </c>
      <c r="F35" s="72" t="s">
        <v>97</v>
      </c>
      <c r="G35" s="47">
        <f>I35/H35</f>
        <v>3.7777777777777779E-3</v>
      </c>
      <c r="H35" s="70">
        <v>270</v>
      </c>
      <c r="I35" s="49">
        <v>1.02</v>
      </c>
      <c r="J35" s="138" t="s">
        <v>37</v>
      </c>
      <c r="K35" s="70" t="s">
        <v>32</v>
      </c>
      <c r="L35" s="151">
        <v>450</v>
      </c>
      <c r="M35" s="48">
        <f>L35*I35</f>
        <v>459</v>
      </c>
      <c r="N35" s="48">
        <v>122</v>
      </c>
      <c r="O35" s="115">
        <v>18.52</v>
      </c>
      <c r="P35" s="116">
        <v>16.562000000000001</v>
      </c>
      <c r="Q35" s="48">
        <f>P35*N35</f>
        <v>2020.5640000000001</v>
      </c>
      <c r="R35" s="73">
        <v>375</v>
      </c>
      <c r="S35" s="73">
        <f>19.05*9.79</f>
        <v>186.49949999999998</v>
      </c>
      <c r="T35" s="51">
        <f>S35+R35+Q35+M34+M35</f>
        <v>9180.0635000000002</v>
      </c>
    </row>
    <row r="36" spans="1:20" ht="16.2" customHeight="1" x14ac:dyDescent="0.2">
      <c r="A36" s="109"/>
      <c r="B36" s="110"/>
      <c r="C36" s="104"/>
      <c r="D36" s="104"/>
      <c r="E36" s="110"/>
      <c r="F36" s="110"/>
      <c r="G36" s="104"/>
      <c r="H36" s="104"/>
      <c r="I36" s="104"/>
      <c r="J36" s="140"/>
      <c r="K36" s="104"/>
      <c r="L36" s="154"/>
      <c r="M36" s="104"/>
      <c r="N36" s="104"/>
      <c r="O36" s="104"/>
      <c r="P36" s="104"/>
      <c r="Q36" s="104"/>
      <c r="R36" s="104"/>
      <c r="S36" s="104"/>
      <c r="T36" s="111"/>
    </row>
    <row r="37" spans="1:20" ht="16.2" customHeight="1" x14ac:dyDescent="0.2">
      <c r="A37" s="85">
        <v>11</v>
      </c>
      <c r="B37" s="86" t="s">
        <v>100</v>
      </c>
      <c r="C37" s="87" t="s">
        <v>20</v>
      </c>
      <c r="D37" s="86" t="s">
        <v>101</v>
      </c>
      <c r="E37" s="65" t="s">
        <v>87</v>
      </c>
      <c r="F37" s="88" t="s">
        <v>23</v>
      </c>
      <c r="G37" s="36">
        <f t="shared" ref="G37:G58" si="0">I37/H37</f>
        <v>1</v>
      </c>
      <c r="H37" s="89">
        <v>1</v>
      </c>
      <c r="I37" s="90">
        <v>1</v>
      </c>
      <c r="J37" s="145" t="s">
        <v>105</v>
      </c>
      <c r="K37" s="89" t="s">
        <v>112</v>
      </c>
      <c r="L37" s="155">
        <v>1700</v>
      </c>
      <c r="M37" s="38">
        <f t="shared" ref="M37:M58" si="1">L37*I37</f>
        <v>1700</v>
      </c>
      <c r="N37" s="91"/>
      <c r="O37" s="90"/>
      <c r="P37" s="92"/>
      <c r="Q37" s="91"/>
      <c r="R37" s="91"/>
      <c r="S37" s="91"/>
      <c r="T37" s="93"/>
    </row>
    <row r="38" spans="1:20" ht="16.2" customHeight="1" x14ac:dyDescent="0.2">
      <c r="A38" s="94"/>
      <c r="B38" s="75" t="s">
        <v>102</v>
      </c>
      <c r="C38" s="16"/>
      <c r="D38" s="16"/>
      <c r="E38" s="13" t="s">
        <v>87</v>
      </c>
      <c r="F38" s="17" t="s">
        <v>106</v>
      </c>
      <c r="G38" s="8">
        <f t="shared" si="0"/>
        <v>0.5</v>
      </c>
      <c r="H38" s="18">
        <v>2</v>
      </c>
      <c r="I38" s="19">
        <v>1</v>
      </c>
      <c r="J38" s="146"/>
      <c r="K38" s="18" t="s">
        <v>113</v>
      </c>
      <c r="L38" s="156">
        <v>875</v>
      </c>
      <c r="M38" s="10">
        <f t="shared" si="1"/>
        <v>875</v>
      </c>
      <c r="N38" s="20"/>
      <c r="O38" s="19"/>
      <c r="P38" s="21"/>
      <c r="Q38" s="20"/>
      <c r="R38" s="20"/>
      <c r="S38" s="20"/>
      <c r="T38" s="95"/>
    </row>
    <row r="39" spans="1:20" ht="16.2" customHeight="1" x14ac:dyDescent="0.2">
      <c r="A39" s="94"/>
      <c r="B39" s="16" t="s">
        <v>103</v>
      </c>
      <c r="C39" s="16"/>
      <c r="D39" s="16"/>
      <c r="E39" s="13" t="s">
        <v>87</v>
      </c>
      <c r="F39" s="17" t="s">
        <v>107</v>
      </c>
      <c r="G39" s="8">
        <f t="shared" si="0"/>
        <v>0.46</v>
      </c>
      <c r="H39" s="18">
        <v>2</v>
      </c>
      <c r="I39" s="19">
        <v>0.92</v>
      </c>
      <c r="J39" s="146"/>
      <c r="K39" s="18" t="s">
        <v>114</v>
      </c>
      <c r="L39" s="156">
        <v>825</v>
      </c>
      <c r="M39" s="10">
        <f t="shared" si="1"/>
        <v>759</v>
      </c>
      <c r="N39" s="20"/>
      <c r="O39" s="19"/>
      <c r="P39" s="21"/>
      <c r="Q39" s="20"/>
      <c r="R39" s="20"/>
      <c r="S39" s="20"/>
      <c r="T39" s="95"/>
    </row>
    <row r="40" spans="1:20" ht="16.2" customHeight="1" x14ac:dyDescent="0.2">
      <c r="A40" s="94"/>
      <c r="B40" s="16" t="s">
        <v>104</v>
      </c>
      <c r="C40" s="16"/>
      <c r="D40" s="16"/>
      <c r="E40" s="13" t="s">
        <v>87</v>
      </c>
      <c r="F40" s="17" t="s">
        <v>85</v>
      </c>
      <c r="G40" s="8">
        <f t="shared" si="0"/>
        <v>0.314</v>
      </c>
      <c r="H40" s="18">
        <v>10</v>
      </c>
      <c r="I40" s="19">
        <v>3.14</v>
      </c>
      <c r="J40" s="146"/>
      <c r="K40" s="18" t="s">
        <v>81</v>
      </c>
      <c r="L40" s="156">
        <v>675</v>
      </c>
      <c r="M40" s="10">
        <f t="shared" si="1"/>
        <v>2119.5</v>
      </c>
      <c r="N40" s="20"/>
      <c r="O40" s="19"/>
      <c r="P40" s="21"/>
      <c r="Q40" s="20"/>
      <c r="R40" s="20"/>
      <c r="S40" s="20"/>
      <c r="T40" s="95"/>
    </row>
    <row r="41" spans="1:20" ht="16.2" customHeight="1" x14ac:dyDescent="0.2">
      <c r="A41" s="94"/>
      <c r="B41" s="16"/>
      <c r="C41" s="16"/>
      <c r="D41" s="16"/>
      <c r="E41" s="13" t="s">
        <v>87</v>
      </c>
      <c r="F41" s="17" t="s">
        <v>108</v>
      </c>
      <c r="G41" s="8">
        <f t="shared" si="0"/>
        <v>0.23666666666666666</v>
      </c>
      <c r="H41" s="18">
        <v>6</v>
      </c>
      <c r="I41" s="19">
        <v>1.42</v>
      </c>
      <c r="J41" s="146"/>
      <c r="K41" s="18" t="s">
        <v>115</v>
      </c>
      <c r="L41" s="156">
        <v>675</v>
      </c>
      <c r="M41" s="10">
        <f t="shared" si="1"/>
        <v>958.5</v>
      </c>
      <c r="N41" s="20"/>
      <c r="O41" s="19"/>
      <c r="P41" s="21"/>
      <c r="Q41" s="20"/>
      <c r="R41" s="20"/>
      <c r="S41" s="20"/>
      <c r="T41" s="95"/>
    </row>
    <row r="42" spans="1:20" ht="16.2" customHeight="1" x14ac:dyDescent="0.2">
      <c r="A42" s="94"/>
      <c r="B42" s="16"/>
      <c r="C42" s="16"/>
      <c r="D42" s="16"/>
      <c r="E42" s="13" t="s">
        <v>87</v>
      </c>
      <c r="F42" s="17" t="s">
        <v>42</v>
      </c>
      <c r="G42" s="8">
        <f t="shared" si="0"/>
        <v>0.1825</v>
      </c>
      <c r="H42" s="18">
        <v>4</v>
      </c>
      <c r="I42" s="19">
        <v>0.73</v>
      </c>
      <c r="J42" s="146"/>
      <c r="K42" s="18" t="s">
        <v>63</v>
      </c>
      <c r="L42" s="156">
        <v>600</v>
      </c>
      <c r="M42" s="10">
        <f t="shared" si="1"/>
        <v>438</v>
      </c>
      <c r="N42" s="20"/>
      <c r="O42" s="19"/>
      <c r="P42" s="21"/>
      <c r="Q42" s="20"/>
      <c r="R42" s="20"/>
      <c r="S42" s="20"/>
      <c r="T42" s="95"/>
    </row>
    <row r="43" spans="1:20" ht="16.2" customHeight="1" x14ac:dyDescent="0.2">
      <c r="A43" s="94"/>
      <c r="B43" s="16"/>
      <c r="C43" s="16"/>
      <c r="D43" s="16"/>
      <c r="E43" s="13" t="s">
        <v>87</v>
      </c>
      <c r="F43" s="17" t="s">
        <v>109</v>
      </c>
      <c r="G43" s="8">
        <f t="shared" si="0"/>
        <v>0.11166666666666668</v>
      </c>
      <c r="H43" s="18">
        <v>6</v>
      </c>
      <c r="I43" s="19">
        <v>0.67</v>
      </c>
      <c r="J43" s="146"/>
      <c r="K43" s="18" t="s">
        <v>116</v>
      </c>
      <c r="L43" s="156">
        <v>525</v>
      </c>
      <c r="M43" s="10">
        <f t="shared" si="1"/>
        <v>351.75</v>
      </c>
      <c r="N43" s="20"/>
      <c r="O43" s="19"/>
      <c r="P43" s="21"/>
      <c r="Q43" s="20"/>
      <c r="R43" s="20"/>
      <c r="S43" s="20"/>
      <c r="T43" s="95"/>
    </row>
    <row r="44" spans="1:20" ht="16.2" customHeight="1" x14ac:dyDescent="0.2">
      <c r="A44" s="94"/>
      <c r="B44" s="16"/>
      <c r="C44" s="16"/>
      <c r="D44" s="16"/>
      <c r="E44" s="13" t="s">
        <v>87</v>
      </c>
      <c r="F44" s="17" t="s">
        <v>44</v>
      </c>
      <c r="G44" s="8">
        <f t="shared" si="0"/>
        <v>9.7500000000000003E-2</v>
      </c>
      <c r="H44" s="18">
        <v>4</v>
      </c>
      <c r="I44" s="19">
        <v>0.39</v>
      </c>
      <c r="J44" s="146"/>
      <c r="K44" s="18" t="s">
        <v>116</v>
      </c>
      <c r="L44" s="156">
        <v>525</v>
      </c>
      <c r="M44" s="10">
        <f t="shared" si="1"/>
        <v>204.75</v>
      </c>
      <c r="N44" s="20"/>
      <c r="O44" s="19"/>
      <c r="P44" s="21"/>
      <c r="Q44" s="20"/>
      <c r="R44" s="20"/>
      <c r="S44" s="20"/>
      <c r="T44" s="95"/>
    </row>
    <row r="45" spans="1:20" ht="16.2" customHeight="1" x14ac:dyDescent="0.2">
      <c r="A45" s="94"/>
      <c r="B45" s="16"/>
      <c r="C45" s="16"/>
      <c r="D45" s="16"/>
      <c r="E45" s="13" t="s">
        <v>87</v>
      </c>
      <c r="F45" s="17" t="s">
        <v>110</v>
      </c>
      <c r="G45" s="8">
        <f t="shared" si="0"/>
        <v>4.230769230769231E-2</v>
      </c>
      <c r="H45" s="18">
        <v>26</v>
      </c>
      <c r="I45" s="19">
        <v>1.1000000000000001</v>
      </c>
      <c r="J45" s="146"/>
      <c r="K45" s="18" t="s">
        <v>117</v>
      </c>
      <c r="L45" s="156">
        <v>450</v>
      </c>
      <c r="M45" s="10">
        <f t="shared" si="1"/>
        <v>495.00000000000006</v>
      </c>
      <c r="N45" s="20"/>
      <c r="O45" s="19"/>
      <c r="P45" s="21"/>
      <c r="Q45" s="20"/>
      <c r="R45" s="20"/>
      <c r="S45" s="20"/>
      <c r="T45" s="95"/>
    </row>
    <row r="46" spans="1:20" ht="16.2" customHeight="1" x14ac:dyDescent="0.2">
      <c r="A46" s="96"/>
      <c r="B46" s="97"/>
      <c r="C46" s="97"/>
      <c r="D46" s="97"/>
      <c r="E46" s="71" t="s">
        <v>87</v>
      </c>
      <c r="F46" s="98" t="s">
        <v>111</v>
      </c>
      <c r="G46" s="47">
        <f t="shared" si="0"/>
        <v>2.8260869565217391E-2</v>
      </c>
      <c r="H46" s="99">
        <v>46</v>
      </c>
      <c r="I46" s="100">
        <v>1.3</v>
      </c>
      <c r="J46" s="147"/>
      <c r="K46" s="99" t="s">
        <v>31</v>
      </c>
      <c r="L46" s="157">
        <v>450</v>
      </c>
      <c r="M46" s="48">
        <f t="shared" si="1"/>
        <v>585</v>
      </c>
      <c r="N46" s="48">
        <v>122</v>
      </c>
      <c r="O46" s="100">
        <v>22.94</v>
      </c>
      <c r="P46" s="108">
        <v>20.606000000000002</v>
      </c>
      <c r="Q46" s="102">
        <f>P46*N46</f>
        <v>2513.9320000000002</v>
      </c>
      <c r="R46" s="102">
        <v>475</v>
      </c>
      <c r="S46" s="102">
        <v>221.73</v>
      </c>
      <c r="T46" s="103">
        <f>S46+R46+Q46+M37+M38+M39+M40+M41+M42+M43+M44+M45+M46</f>
        <v>11697.162</v>
      </c>
    </row>
    <row r="47" spans="1:20" ht="16.2" customHeight="1" x14ac:dyDescent="0.2">
      <c r="A47" s="76"/>
      <c r="B47" s="77"/>
      <c r="C47" s="77"/>
      <c r="D47" s="77"/>
      <c r="E47" s="104"/>
      <c r="F47" s="105"/>
      <c r="G47" s="106"/>
      <c r="H47" s="78"/>
      <c r="I47" s="79"/>
      <c r="J47" s="148"/>
      <c r="K47" s="78"/>
      <c r="L47" s="158"/>
      <c r="M47" s="83"/>
      <c r="N47" s="83"/>
      <c r="O47" s="79"/>
      <c r="P47" s="82"/>
      <c r="Q47" s="83"/>
      <c r="R47" s="83"/>
      <c r="S47" s="83"/>
      <c r="T47" s="107"/>
    </row>
    <row r="48" spans="1:20" ht="16.2" customHeight="1" x14ac:dyDescent="0.2">
      <c r="A48" s="85">
        <v>12</v>
      </c>
      <c r="B48" s="86" t="s">
        <v>118</v>
      </c>
      <c r="C48" s="87" t="s">
        <v>20</v>
      </c>
      <c r="D48" s="86" t="s">
        <v>119</v>
      </c>
      <c r="E48" s="65" t="s">
        <v>87</v>
      </c>
      <c r="F48" s="88" t="s">
        <v>122</v>
      </c>
      <c r="G48" s="36">
        <f t="shared" si="0"/>
        <v>0.8</v>
      </c>
      <c r="H48" s="89">
        <v>1</v>
      </c>
      <c r="I48" s="90">
        <v>0.8</v>
      </c>
      <c r="J48" s="145" t="s">
        <v>105</v>
      </c>
      <c r="K48" s="89" t="s">
        <v>125</v>
      </c>
      <c r="L48" s="155">
        <v>1025</v>
      </c>
      <c r="M48" s="38">
        <f t="shared" si="1"/>
        <v>820</v>
      </c>
      <c r="N48" s="91"/>
      <c r="O48" s="90"/>
      <c r="P48" s="92"/>
      <c r="Q48" s="91"/>
      <c r="R48" s="91"/>
      <c r="S48" s="91"/>
      <c r="T48" s="93"/>
    </row>
    <row r="49" spans="1:20" ht="16.2" customHeight="1" x14ac:dyDescent="0.2">
      <c r="A49" s="94"/>
      <c r="B49" s="75" t="s">
        <v>120</v>
      </c>
      <c r="C49" s="16"/>
      <c r="D49" s="16"/>
      <c r="E49" s="13" t="s">
        <v>87</v>
      </c>
      <c r="F49" s="17" t="s">
        <v>123</v>
      </c>
      <c r="G49" s="8">
        <f t="shared" si="0"/>
        <v>0.5</v>
      </c>
      <c r="H49" s="18">
        <v>2</v>
      </c>
      <c r="I49" s="19">
        <v>1</v>
      </c>
      <c r="J49" s="146"/>
      <c r="K49" s="18" t="s">
        <v>114</v>
      </c>
      <c r="L49" s="156">
        <v>875</v>
      </c>
      <c r="M49" s="10">
        <f t="shared" si="1"/>
        <v>875</v>
      </c>
      <c r="N49" s="20"/>
      <c r="O49" s="19"/>
      <c r="P49" s="21"/>
      <c r="Q49" s="20"/>
      <c r="R49" s="20"/>
      <c r="S49" s="20"/>
      <c r="T49" s="95"/>
    </row>
    <row r="50" spans="1:20" ht="16.2" customHeight="1" x14ac:dyDescent="0.2">
      <c r="A50" s="94"/>
      <c r="B50" s="16" t="s">
        <v>121</v>
      </c>
      <c r="C50" s="16"/>
      <c r="D50" s="16"/>
      <c r="E50" s="13" t="s">
        <v>87</v>
      </c>
      <c r="F50" s="17" t="s">
        <v>88</v>
      </c>
      <c r="G50" s="8">
        <f t="shared" si="0"/>
        <v>0.42</v>
      </c>
      <c r="H50" s="18">
        <v>2</v>
      </c>
      <c r="I50" s="19">
        <v>0.84</v>
      </c>
      <c r="J50" s="146"/>
      <c r="K50" s="18" t="s">
        <v>93</v>
      </c>
      <c r="L50" s="156">
        <v>775</v>
      </c>
      <c r="M50" s="10">
        <f t="shared" si="1"/>
        <v>651</v>
      </c>
      <c r="N50" s="20"/>
      <c r="O50" s="19"/>
      <c r="P50" s="21"/>
      <c r="Q50" s="20"/>
      <c r="R50" s="20"/>
      <c r="S50" s="20"/>
      <c r="T50" s="95"/>
    </row>
    <row r="51" spans="1:20" ht="16.2" customHeight="1" x14ac:dyDescent="0.2">
      <c r="A51" s="94"/>
      <c r="B51" s="16"/>
      <c r="C51" s="16"/>
      <c r="D51" s="16"/>
      <c r="E51" s="13" t="s">
        <v>87</v>
      </c>
      <c r="F51" s="17" t="s">
        <v>85</v>
      </c>
      <c r="G51" s="8">
        <f t="shared" si="0"/>
        <v>0.32</v>
      </c>
      <c r="H51" s="18">
        <v>6</v>
      </c>
      <c r="I51" s="19">
        <v>1.92</v>
      </c>
      <c r="J51" s="146"/>
      <c r="K51" s="18" t="s">
        <v>115</v>
      </c>
      <c r="L51" s="156">
        <v>675</v>
      </c>
      <c r="M51" s="10">
        <f t="shared" si="1"/>
        <v>1296</v>
      </c>
      <c r="N51" s="20"/>
      <c r="O51" s="19"/>
      <c r="P51" s="21"/>
      <c r="Q51" s="20"/>
      <c r="R51" s="20"/>
      <c r="S51" s="20"/>
      <c r="T51" s="95"/>
    </row>
    <row r="52" spans="1:20" ht="16.2" customHeight="1" x14ac:dyDescent="0.2">
      <c r="A52" s="94"/>
      <c r="B52" s="16"/>
      <c r="C52" s="16"/>
      <c r="D52" s="16"/>
      <c r="E52" s="13" t="s">
        <v>87</v>
      </c>
      <c r="F52" s="17" t="s">
        <v>108</v>
      </c>
      <c r="G52" s="8">
        <f t="shared" si="0"/>
        <v>0.255</v>
      </c>
      <c r="H52" s="18">
        <v>2</v>
      </c>
      <c r="I52" s="19">
        <v>0.51</v>
      </c>
      <c r="J52" s="146"/>
      <c r="K52" s="18" t="s">
        <v>115</v>
      </c>
      <c r="L52" s="156">
        <v>675</v>
      </c>
      <c r="M52" s="10">
        <f t="shared" si="1"/>
        <v>344.25</v>
      </c>
      <c r="N52" s="20"/>
      <c r="O52" s="19"/>
      <c r="P52" s="21"/>
      <c r="Q52" s="20"/>
      <c r="R52" s="20"/>
      <c r="S52" s="20"/>
      <c r="T52" s="95"/>
    </row>
    <row r="53" spans="1:20" ht="16.2" customHeight="1" x14ac:dyDescent="0.2">
      <c r="A53" s="94"/>
      <c r="B53" s="16"/>
      <c r="C53" s="16"/>
      <c r="D53" s="16"/>
      <c r="E53" s="13" t="s">
        <v>87</v>
      </c>
      <c r="F53" s="17" t="s">
        <v>42</v>
      </c>
      <c r="G53" s="8">
        <f t="shared" si="0"/>
        <v>0.20250000000000001</v>
      </c>
      <c r="H53" s="18">
        <v>4</v>
      </c>
      <c r="I53" s="19">
        <v>0.81</v>
      </c>
      <c r="J53" s="146"/>
      <c r="K53" s="18" t="s">
        <v>63</v>
      </c>
      <c r="L53" s="156">
        <v>575</v>
      </c>
      <c r="M53" s="10">
        <f t="shared" si="1"/>
        <v>465.75000000000006</v>
      </c>
      <c r="N53" s="20"/>
      <c r="O53" s="19"/>
      <c r="P53" s="21"/>
      <c r="Q53" s="20"/>
      <c r="R53" s="20"/>
      <c r="S53" s="20"/>
      <c r="T53" s="95"/>
    </row>
    <row r="54" spans="1:20" ht="16.2" customHeight="1" x14ac:dyDescent="0.2">
      <c r="A54" s="94"/>
      <c r="B54" s="16"/>
      <c r="C54" s="16"/>
      <c r="D54" s="16"/>
      <c r="E54" s="13" t="s">
        <v>87</v>
      </c>
      <c r="F54" s="17" t="s">
        <v>124</v>
      </c>
      <c r="G54" s="8">
        <f t="shared" si="0"/>
        <v>0.17</v>
      </c>
      <c r="H54" s="18">
        <v>2</v>
      </c>
      <c r="I54" s="19">
        <v>0.34</v>
      </c>
      <c r="J54" s="146"/>
      <c r="K54" s="18" t="s">
        <v>126</v>
      </c>
      <c r="L54" s="156">
        <v>575</v>
      </c>
      <c r="M54" s="10">
        <f t="shared" si="1"/>
        <v>195.5</v>
      </c>
      <c r="N54" s="20"/>
      <c r="O54" s="19"/>
      <c r="P54" s="21"/>
      <c r="Q54" s="20"/>
      <c r="R54" s="20"/>
      <c r="S54" s="20"/>
      <c r="T54" s="95"/>
    </row>
    <row r="55" spans="1:20" ht="16.2" customHeight="1" x14ac:dyDescent="0.2">
      <c r="A55" s="94"/>
      <c r="B55" s="16"/>
      <c r="C55" s="16"/>
      <c r="D55" s="16"/>
      <c r="E55" s="13" t="s">
        <v>87</v>
      </c>
      <c r="F55" s="17" t="s">
        <v>109</v>
      </c>
      <c r="G55" s="8">
        <f t="shared" si="0"/>
        <v>0.12166666666666666</v>
      </c>
      <c r="H55" s="18">
        <v>6</v>
      </c>
      <c r="I55" s="19">
        <v>0.73</v>
      </c>
      <c r="J55" s="146"/>
      <c r="K55" s="18" t="s">
        <v>116</v>
      </c>
      <c r="L55" s="156">
        <v>525</v>
      </c>
      <c r="M55" s="10">
        <f t="shared" si="1"/>
        <v>383.25</v>
      </c>
      <c r="N55" s="20"/>
      <c r="O55" s="19"/>
      <c r="P55" s="21"/>
      <c r="Q55" s="20"/>
      <c r="R55" s="20"/>
      <c r="S55" s="20"/>
      <c r="T55" s="95"/>
    </row>
    <row r="56" spans="1:20" ht="16.2" customHeight="1" x14ac:dyDescent="0.2">
      <c r="A56" s="94"/>
      <c r="B56" s="16"/>
      <c r="C56" s="16"/>
      <c r="D56" s="16"/>
      <c r="E56" s="13" t="s">
        <v>87</v>
      </c>
      <c r="F56" s="17" t="s">
        <v>44</v>
      </c>
      <c r="G56" s="8">
        <f t="shared" si="0"/>
        <v>8.0500000000000002E-2</v>
      </c>
      <c r="H56" s="18">
        <v>20</v>
      </c>
      <c r="I56" s="19">
        <v>1.61</v>
      </c>
      <c r="J56" s="146"/>
      <c r="K56" s="18" t="s">
        <v>127</v>
      </c>
      <c r="L56" s="156">
        <v>525</v>
      </c>
      <c r="M56" s="10">
        <f t="shared" si="1"/>
        <v>845.25</v>
      </c>
      <c r="N56" s="20"/>
      <c r="O56" s="19"/>
      <c r="P56" s="21"/>
      <c r="Q56" s="20"/>
      <c r="R56" s="20"/>
      <c r="S56" s="20"/>
      <c r="T56" s="95"/>
    </row>
    <row r="57" spans="1:20" ht="16.2" customHeight="1" x14ac:dyDescent="0.2">
      <c r="A57" s="94"/>
      <c r="B57" s="16"/>
      <c r="C57" s="16"/>
      <c r="D57" s="16"/>
      <c r="E57" s="13" t="s">
        <v>87</v>
      </c>
      <c r="F57" s="17" t="s">
        <v>110</v>
      </c>
      <c r="G57" s="8">
        <f t="shared" si="0"/>
        <v>5.0303030303030301E-2</v>
      </c>
      <c r="H57" s="18">
        <v>66</v>
      </c>
      <c r="I57" s="19">
        <v>3.32</v>
      </c>
      <c r="J57" s="146"/>
      <c r="K57" s="18" t="s">
        <v>117</v>
      </c>
      <c r="L57" s="156">
        <v>450</v>
      </c>
      <c r="M57" s="10">
        <f t="shared" si="1"/>
        <v>1494</v>
      </c>
      <c r="N57" s="20"/>
      <c r="O57" s="19"/>
      <c r="P57" s="21"/>
      <c r="Q57" s="20"/>
      <c r="R57" s="20"/>
      <c r="S57" s="20"/>
      <c r="T57" s="95"/>
    </row>
    <row r="58" spans="1:20" ht="16.2" customHeight="1" x14ac:dyDescent="0.2">
      <c r="A58" s="96"/>
      <c r="B58" s="97"/>
      <c r="C58" s="97"/>
      <c r="D58" s="97"/>
      <c r="E58" s="71" t="s">
        <v>87</v>
      </c>
      <c r="F58" s="98" t="s">
        <v>111</v>
      </c>
      <c r="G58" s="47">
        <f t="shared" si="0"/>
        <v>2.9285714285714286E-2</v>
      </c>
      <c r="H58" s="99">
        <v>42</v>
      </c>
      <c r="I58" s="100">
        <v>1.23</v>
      </c>
      <c r="J58" s="147"/>
      <c r="K58" s="99" t="s">
        <v>31</v>
      </c>
      <c r="L58" s="157">
        <v>450</v>
      </c>
      <c r="M58" s="48">
        <f t="shared" si="1"/>
        <v>553.5</v>
      </c>
      <c r="N58" s="48">
        <v>122</v>
      </c>
      <c r="O58" s="100">
        <v>22.03</v>
      </c>
      <c r="P58" s="101">
        <v>19.41</v>
      </c>
      <c r="Q58" s="102">
        <f>P58*N58</f>
        <v>2368.02</v>
      </c>
      <c r="R58" s="102">
        <v>475</v>
      </c>
      <c r="S58" s="102">
        <v>249.08999999999997</v>
      </c>
      <c r="T58" s="103">
        <f>S58+R58+Q58+M48+M49+M50+M51+M52+M53+M54+M55+M56+M57+M58</f>
        <v>11015.61</v>
      </c>
    </row>
    <row r="59" spans="1:20" ht="16.2" customHeight="1" x14ac:dyDescent="0.2">
      <c r="A59" s="76">
        <f>SUBTOTAL(109,Table1[Sr])</f>
        <v>78</v>
      </c>
      <c r="B59" s="77"/>
      <c r="C59" s="77"/>
      <c r="D59" s="77"/>
      <c r="E59" s="57"/>
      <c r="F59" s="77"/>
      <c r="G59" s="56"/>
      <c r="H59" s="78">
        <f>SUBTOTAL(109,Table1[No.Pcs])</f>
        <v>958</v>
      </c>
      <c r="I59" s="79">
        <f>SUBTOTAL(109,Table1[Diam Cts])</f>
        <v>93.4</v>
      </c>
      <c r="J59" s="77"/>
      <c r="K59" s="78"/>
      <c r="L59" s="80"/>
      <c r="M59" s="81">
        <f>SUBTOTAL(109,Table1[Diam Total])</f>
        <v>63999.25</v>
      </c>
      <c r="N59" s="78"/>
      <c r="O59" s="79">
        <f>SUBTOTAL(109,Table1[Gross Gm])</f>
        <v>150.61000000000001</v>
      </c>
      <c r="P59" s="82">
        <f>SUBTOTAL(109,Table1[Net Gm])</f>
        <v>131.934</v>
      </c>
      <c r="Q59" s="83">
        <f>SUBTOTAL(109,Table1[Gold Total])</f>
        <v>16095.948</v>
      </c>
      <c r="R59" s="83">
        <f>SUBTOTAL(109,Table1[Labour])</f>
        <v>3270</v>
      </c>
      <c r="S59" s="83">
        <f>SUBTOTAL(109,Table1[Cert Exp])</f>
        <v>1804.5044999999998</v>
      </c>
      <c r="T59" s="84">
        <f>SUBTOTAL(109,Table1[Total Amt])</f>
        <v>85169.702499999999</v>
      </c>
    </row>
    <row r="60" spans="1:20" ht="16.2" customHeight="1" x14ac:dyDescent="0.2">
      <c r="A60" s="2"/>
      <c r="B60" s="2"/>
      <c r="C60" s="2"/>
      <c r="D60" s="2"/>
      <c r="F60" s="2"/>
      <c r="G60" s="2"/>
      <c r="H60" s="2"/>
      <c r="I60" s="2"/>
      <c r="J60" s="2"/>
      <c r="K60" s="2"/>
      <c r="L60" s="2"/>
      <c r="M60" s="2">
        <v>1</v>
      </c>
      <c r="N60" s="2"/>
      <c r="O60" s="3"/>
      <c r="P60" s="2"/>
      <c r="Q60" s="2">
        <v>2</v>
      </c>
      <c r="R60" s="2">
        <v>3</v>
      </c>
      <c r="S60" s="2">
        <v>4</v>
      </c>
      <c r="T60" s="2" t="s">
        <v>128</v>
      </c>
    </row>
    <row r="61" spans="1:20" ht="16.2" customHeight="1" x14ac:dyDescent="0.2">
      <c r="A61" s="159" t="s">
        <v>131</v>
      </c>
      <c r="B61" s="160"/>
      <c r="C61" s="160"/>
      <c r="D61" s="161"/>
    </row>
  </sheetData>
  <mergeCells count="3">
    <mergeCell ref="A2:T2"/>
    <mergeCell ref="A3:T3"/>
    <mergeCell ref="A61:D61"/>
  </mergeCells>
  <hyperlinks>
    <hyperlink ref="C5" r:id="rId1" xr:uid="{425D0DF6-48B4-4F06-B7D9-455B01A1CACF}"/>
    <hyperlink ref="C9" r:id="rId2" xr:uid="{EB915B3E-A843-4741-B99D-CA3A1005DD47}"/>
    <hyperlink ref="C12" r:id="rId3" xr:uid="{2DEB297A-AF1C-4D33-A781-885521116401}"/>
    <hyperlink ref="C15" r:id="rId4" xr:uid="{A2025306-01D6-4E65-9FDD-887AED30D73A}"/>
    <hyperlink ref="C17" r:id="rId5" xr:uid="{FD775835-9DD3-4850-8E3D-CE4468BACABB}"/>
    <hyperlink ref="C21" r:id="rId6" xr:uid="{483A8D72-0F11-4697-84E7-42778E8EC1AF}"/>
    <hyperlink ref="C24" r:id="rId7" xr:uid="{BE795D58-7BA7-46AC-B147-B045705BE1D0}"/>
    <hyperlink ref="C27" r:id="rId8" xr:uid="{8F1BFA10-3F66-4A7B-94AE-97A00DC8BDF2}"/>
    <hyperlink ref="C30" r:id="rId9" xr:uid="{B4F4E270-9CA6-48BF-A7E9-3E865F29AD53}"/>
    <hyperlink ref="C34" r:id="rId10" xr:uid="{07E1AB3D-3B0D-42B0-84F5-C1E74A9C7AF2}"/>
    <hyperlink ref="C37" r:id="rId11" xr:uid="{B0EA36DF-DD40-45FF-9414-E2A49D67FB10}"/>
    <hyperlink ref="C48" r:id="rId12" xr:uid="{CEABEE7F-C563-435C-9F80-5132F89B13F6}"/>
  </hyperlinks>
  <pageMargins left="0.70866141732283472" right="0.70866141732283472" top="0.35433070866141736" bottom="0.74803149606299213" header="0.31496062992125984" footer="0.31496062992125984"/>
  <pageSetup paperSize="9" scale="68" orientation="landscape" r:id="rId13"/>
  <headerFooter>
    <oddFooter>Page &amp;P of &amp;N</oddFooter>
  </headerFooter>
  <ignoredErrors>
    <ignoredError sqref="Q6:T58" unlockedFormula="1"/>
  </ignoredErrors>
  <drawing r:id="rId14"/>
  <legacyDrawing r:id="rId15"/>
  <tableParts count="1"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Star-Viraj Shah</dc:creator>
  <cp:lastModifiedBy>Antonia Star-Viraj Shah</cp:lastModifiedBy>
  <cp:lastPrinted>2026-02-03T11:28:09Z</cp:lastPrinted>
  <dcterms:created xsi:type="dcterms:W3CDTF">2026-02-03T07:52:42Z</dcterms:created>
  <dcterms:modified xsi:type="dcterms:W3CDTF">2026-02-03T12:06:47Z</dcterms:modified>
</cp:coreProperties>
</file>