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03\new data important\1.NEW DATA 10.10.2015\"/>
    </mc:Choice>
  </mc:AlternateContent>
  <xr:revisionPtr revIDLastSave="0" documentId="13_ncr:1_{E37C8A08-50AA-4638-B3F1-3E944D65A9C2}" xr6:coauthVersionLast="47" xr6:coauthVersionMax="47" xr10:uidLastSave="{00000000-0000-0000-0000-000000000000}"/>
  <bookViews>
    <workbookView xWindow="-108" yWindow="-108" windowWidth="23256" windowHeight="12456" activeTab="1" xr2:uid="{9620AA7D-6DDF-472F-B3F2-3229641C1F35}"/>
  </bookViews>
  <sheets>
    <sheet name="Nks" sheetId="1" r:id="rId1"/>
    <sheet name="Braclet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0" i="2" l="1"/>
  <c r="P40" i="2"/>
  <c r="O40" i="2"/>
  <c r="I40" i="2"/>
  <c r="H40" i="2"/>
  <c r="A40" i="2"/>
  <c r="S39" i="2"/>
  <c r="S36" i="2"/>
  <c r="S33" i="2"/>
  <c r="S28" i="2"/>
  <c r="S24" i="2"/>
  <c r="S21" i="2"/>
  <c r="S18" i="2"/>
  <c r="S15" i="2"/>
  <c r="S12" i="2"/>
  <c r="S9" i="2"/>
  <c r="S5" i="2"/>
  <c r="S40" i="2" s="1"/>
  <c r="Q39" i="2"/>
  <c r="Q36" i="2"/>
  <c r="Q33" i="2"/>
  <c r="Q28" i="2"/>
  <c r="Q24" i="2"/>
  <c r="Q21" i="2"/>
  <c r="Q18" i="2"/>
  <c r="Q15" i="2"/>
  <c r="Q12" i="2"/>
  <c r="Q9" i="2"/>
  <c r="Q5" i="2"/>
  <c r="Q40" i="2" s="1"/>
  <c r="M39" i="2" l="1"/>
  <c r="M38" i="2"/>
  <c r="T39" i="2" s="1"/>
  <c r="M36" i="2"/>
  <c r="M35" i="2"/>
  <c r="T36" i="2" s="1"/>
  <c r="M33" i="2"/>
  <c r="M32" i="2"/>
  <c r="M31" i="2"/>
  <c r="M30" i="2"/>
  <c r="M28" i="2"/>
  <c r="M27" i="2"/>
  <c r="M26" i="2"/>
  <c r="T28" i="2" s="1"/>
  <c r="M24" i="2"/>
  <c r="M23" i="2"/>
  <c r="T24" i="2" s="1"/>
  <c r="M21" i="2"/>
  <c r="M20" i="2"/>
  <c r="T21" i="2" s="1"/>
  <c r="M18" i="2"/>
  <c r="M17" i="2"/>
  <c r="T18" i="2" s="1"/>
  <c r="M15" i="2"/>
  <c r="M14" i="2"/>
  <c r="T15" i="2" s="1"/>
  <c r="M12" i="2"/>
  <c r="M11" i="2"/>
  <c r="T12" i="2" s="1"/>
  <c r="M9" i="2"/>
  <c r="M8" i="2"/>
  <c r="M7" i="2"/>
  <c r="M5" i="2"/>
  <c r="M4" i="2"/>
  <c r="M3" i="2"/>
  <c r="G39" i="2"/>
  <c r="G38" i="2"/>
  <c r="G36" i="2"/>
  <c r="G35" i="2"/>
  <c r="G33" i="2"/>
  <c r="G32" i="2"/>
  <c r="G31" i="2"/>
  <c r="G30" i="2"/>
  <c r="G28" i="2"/>
  <c r="G27" i="2"/>
  <c r="G26" i="2"/>
  <c r="G24" i="2"/>
  <c r="G23" i="2"/>
  <c r="G21" i="2"/>
  <c r="G20" i="2"/>
  <c r="G18" i="2"/>
  <c r="G17" i="2"/>
  <c r="G15" i="2"/>
  <c r="G14" i="2"/>
  <c r="G12" i="2"/>
  <c r="G11" i="2"/>
  <c r="G9" i="2"/>
  <c r="G8" i="2"/>
  <c r="G7" i="2"/>
  <c r="G5" i="2"/>
  <c r="G4" i="2"/>
  <c r="G3" i="2"/>
  <c r="S41" i="1"/>
  <c r="Q41" i="1"/>
  <c r="M41" i="1"/>
  <c r="M40" i="1"/>
  <c r="M39" i="1"/>
  <c r="M38" i="1"/>
  <c r="M37" i="1"/>
  <c r="M36" i="1"/>
  <c r="M35" i="1"/>
  <c r="M34" i="1"/>
  <c r="M33" i="1"/>
  <c r="G41" i="1"/>
  <c r="G40" i="1"/>
  <c r="G39" i="1"/>
  <c r="G38" i="1"/>
  <c r="G37" i="1"/>
  <c r="G36" i="1"/>
  <c r="G35" i="1"/>
  <c r="G34" i="1"/>
  <c r="G33" i="1"/>
  <c r="R42" i="1"/>
  <c r="P42" i="1"/>
  <c r="O42" i="1"/>
  <c r="I42" i="1"/>
  <c r="H42" i="1"/>
  <c r="A42" i="1"/>
  <c r="S18" i="1"/>
  <c r="S10" i="1"/>
  <c r="S6" i="1"/>
  <c r="Q30" i="1"/>
  <c r="Q18" i="1"/>
  <c r="Q10" i="1"/>
  <c r="Q6" i="1"/>
  <c r="M30" i="1"/>
  <c r="M29" i="1"/>
  <c r="M28" i="1"/>
  <c r="M27" i="1"/>
  <c r="M26" i="1"/>
  <c r="M25" i="1"/>
  <c r="M24" i="1"/>
  <c r="M23" i="1"/>
  <c r="M22" i="1"/>
  <c r="M21" i="1"/>
  <c r="M20" i="1"/>
  <c r="M18" i="1"/>
  <c r="M17" i="1"/>
  <c r="M16" i="1"/>
  <c r="M15" i="1"/>
  <c r="M14" i="1"/>
  <c r="M13" i="1"/>
  <c r="M10" i="1"/>
  <c r="M9" i="1"/>
  <c r="M8" i="1"/>
  <c r="M6" i="1"/>
  <c r="M5" i="1"/>
  <c r="M4" i="1"/>
  <c r="M3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0" i="1"/>
  <c r="G9" i="1"/>
  <c r="G8" i="1"/>
  <c r="G6" i="1"/>
  <c r="G5" i="1"/>
  <c r="G4" i="1"/>
  <c r="G3" i="1"/>
  <c r="M40" i="2" l="1"/>
  <c r="T33" i="2"/>
  <c r="T5" i="2"/>
  <c r="T9" i="2"/>
  <c r="T40" i="2" s="1"/>
  <c r="T41" i="1"/>
  <c r="Q42" i="1"/>
  <c r="S42" i="1"/>
  <c r="M42" i="1"/>
  <c r="T30" i="1"/>
  <c r="T10" i="1"/>
  <c r="T6" i="1"/>
  <c r="T18" i="1"/>
  <c r="T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Viraj-Antonia</author>
  </authors>
  <commentList>
    <comment ref="E3" authorId="0" shapeId="0" xr:uid="{7991578A-293D-4780-A1D6-1825AEBACB29}">
      <text>
        <r>
          <rPr>
            <b/>
            <sz val="9"/>
            <color indexed="81"/>
            <rFont val="Tahoma"/>
            <family val="2"/>
          </rPr>
          <t>Viraj-Antonia:</t>
        </r>
        <r>
          <rPr>
            <sz val="9"/>
            <color indexed="81"/>
            <rFont val="Tahoma"/>
            <family val="2"/>
          </rPr>
          <t xml:space="preserve">
537247722 G SI2 Igi</t>
        </r>
      </text>
    </comment>
  </commentList>
</comments>
</file>

<file path=xl/sharedStrings.xml><?xml version="1.0" encoding="utf-8"?>
<sst xmlns="http://schemas.openxmlformats.org/spreadsheetml/2006/main" count="347" uniqueCount="178">
  <si>
    <t>Sr.</t>
  </si>
  <si>
    <t>ITEM</t>
  </si>
  <si>
    <t>Lab</t>
  </si>
  <si>
    <t>Certificate</t>
  </si>
  <si>
    <t>Parcel Id</t>
  </si>
  <si>
    <t>Size Avg.</t>
  </si>
  <si>
    <t>Avg</t>
  </si>
  <si>
    <t>Pcs</t>
  </si>
  <si>
    <t>Cts</t>
  </si>
  <si>
    <t>Lab Cla</t>
  </si>
  <si>
    <t>Pears-Heart-Round Mixed Necklace</t>
  </si>
  <si>
    <t>HRD</t>
  </si>
  <si>
    <t>J250000040438</t>
  </si>
  <si>
    <t>Pears</t>
  </si>
  <si>
    <t>1/2</t>
  </si>
  <si>
    <t>EF VS-SI</t>
  </si>
  <si>
    <t>Cts : 9.07 / Pcs : 148</t>
  </si>
  <si>
    <t>Hearts</t>
  </si>
  <si>
    <t>1/4</t>
  </si>
  <si>
    <t>CXUN</t>
  </si>
  <si>
    <t>Rounds</t>
  </si>
  <si>
    <t>+6.50-7.50</t>
  </si>
  <si>
    <t>+6-6.50</t>
  </si>
  <si>
    <t>Pears Flower-Round Necklace</t>
  </si>
  <si>
    <t>J250000048215</t>
  </si>
  <si>
    <t>EF SI</t>
  </si>
  <si>
    <t>Cts : 13.26 / Pcs : 107</t>
  </si>
  <si>
    <t>+11-12</t>
  </si>
  <si>
    <t>12inch Diam + 5 Inch Gold = 17 inch</t>
  </si>
  <si>
    <t>+12-13</t>
  </si>
  <si>
    <t>Double Line Pears Necklace</t>
  </si>
  <si>
    <t>3/4</t>
  </si>
  <si>
    <t>E SI1</t>
  </si>
  <si>
    <t>Cts : 25.53 / Pcs : 192</t>
  </si>
  <si>
    <t>E SI2</t>
  </si>
  <si>
    <t>CCSD</t>
  </si>
  <si>
    <t>J240000112221</t>
  </si>
  <si>
    <t>1/5</t>
  </si>
  <si>
    <t>1/6</t>
  </si>
  <si>
    <t>1/10</t>
  </si>
  <si>
    <t>LOT</t>
  </si>
  <si>
    <t>Per/ct $</t>
  </si>
  <si>
    <t>Diam Total</t>
  </si>
  <si>
    <t>Gold/gm</t>
  </si>
  <si>
    <t>Gross Gm</t>
  </si>
  <si>
    <t>Net  Gm</t>
  </si>
  <si>
    <t>Gold Total</t>
  </si>
  <si>
    <t>Labour</t>
  </si>
  <si>
    <t>Cert</t>
  </si>
  <si>
    <t>Total Amt</t>
  </si>
  <si>
    <t>CHDC</t>
  </si>
  <si>
    <t>CXZZ</t>
  </si>
  <si>
    <t>CTCZ</t>
  </si>
  <si>
    <t>CQCZ</t>
  </si>
  <si>
    <t>CUZZZ</t>
  </si>
  <si>
    <t>CXSC</t>
  </si>
  <si>
    <t>CCXZ</t>
  </si>
  <si>
    <t>CQXZ</t>
  </si>
  <si>
    <t>Heart Look Fancy Color Necklace</t>
  </si>
  <si>
    <t>IGI</t>
  </si>
  <si>
    <t>32J8071224</t>
  </si>
  <si>
    <t>GH VS-SI</t>
  </si>
  <si>
    <t>+6.50-8</t>
  </si>
  <si>
    <t>+8-11</t>
  </si>
  <si>
    <t>White Round Cts : 15.43/Pcs:282</t>
  </si>
  <si>
    <t>+12-14</t>
  </si>
  <si>
    <t>+3.50-6</t>
  </si>
  <si>
    <t>Fncy Vivid SI</t>
  </si>
  <si>
    <t>+7-8</t>
  </si>
  <si>
    <t>Canary in Pendant Cts:5.63/Pcs:139</t>
  </si>
  <si>
    <t>+10.50-11</t>
  </si>
  <si>
    <t>Round in Pendant Cts:3.33/Pcs:108</t>
  </si>
  <si>
    <t>+000-00</t>
  </si>
  <si>
    <t>Total Cts : 24.39/Pcs: 529</t>
  </si>
  <si>
    <t>CTSC</t>
  </si>
  <si>
    <t>CQDC</t>
  </si>
  <si>
    <t>CDCZ</t>
  </si>
  <si>
    <t>(1+2+3+4)</t>
  </si>
  <si>
    <t>18k Natural Diamonds Jewellery - Packing List of Chetan Jewellers</t>
  </si>
  <si>
    <t>Note : All Orignal Certificates are issued</t>
  </si>
  <si>
    <t>Emerald Graduation Nks -V Shape</t>
  </si>
  <si>
    <t>J240000084814</t>
  </si>
  <si>
    <t>EF VS</t>
  </si>
  <si>
    <t>Cts : 28.41 / Pcs : 198</t>
  </si>
  <si>
    <t>Certs</t>
  </si>
  <si>
    <t>3/8</t>
  </si>
  <si>
    <t>CCHH</t>
  </si>
  <si>
    <t>1/3</t>
  </si>
  <si>
    <t>-2</t>
  </si>
  <si>
    <t>Green Colorstone Emerald : 13.63ct</t>
  </si>
  <si>
    <t>Color Stone</t>
  </si>
  <si>
    <t>UZNZ</t>
  </si>
  <si>
    <t>CHCZ</t>
  </si>
  <si>
    <t>CXCZ</t>
  </si>
  <si>
    <t>CCZZ</t>
  </si>
  <si>
    <t>CQTC</t>
  </si>
  <si>
    <t>CQZC</t>
  </si>
  <si>
    <t>Emeralds</t>
  </si>
  <si>
    <t>Sr</t>
  </si>
  <si>
    <t>LAB</t>
  </si>
  <si>
    <t>Cert Number</t>
  </si>
  <si>
    <t>Size2</t>
  </si>
  <si>
    <t>Avg Pts</t>
  </si>
  <si>
    <t>No.Pcs</t>
  </si>
  <si>
    <t>Diam Cts</t>
  </si>
  <si>
    <t>Col - Clarity</t>
  </si>
  <si>
    <t>Per/ct</t>
  </si>
  <si>
    <t>Net Gm</t>
  </si>
  <si>
    <t>Cert Exp</t>
  </si>
  <si>
    <t>Marquise-Round Braclet</t>
  </si>
  <si>
    <t>J250000112869</t>
  </si>
  <si>
    <t>1ct</t>
  </si>
  <si>
    <t>FG SI</t>
  </si>
  <si>
    <t>Marquise</t>
  </si>
  <si>
    <t>+14</t>
  </si>
  <si>
    <t>FG VS-SI</t>
  </si>
  <si>
    <t>Cts : 4.68/Pcs : 42</t>
  </si>
  <si>
    <t>+8-8.50</t>
  </si>
  <si>
    <t>USZZ</t>
  </si>
  <si>
    <t>CTCC</t>
  </si>
  <si>
    <t>Round Braclet</t>
  </si>
  <si>
    <t>J250000112868</t>
  </si>
  <si>
    <t>Round</t>
  </si>
  <si>
    <t>+13-13.50</t>
  </si>
  <si>
    <t>Cts : 5.02 /Pcs : 59</t>
  </si>
  <si>
    <t>Round-Emerald Brc</t>
  </si>
  <si>
    <t>J250000122437</t>
  </si>
  <si>
    <t xml:space="preserve">GH SI </t>
  </si>
  <si>
    <t>Cts : 6.38/Pcs: 51</t>
  </si>
  <si>
    <t>Emerald</t>
  </si>
  <si>
    <t>EF VVS-VS</t>
  </si>
  <si>
    <t>Tennis Braclet</t>
  </si>
  <si>
    <t>J250000053266</t>
  </si>
  <si>
    <t>Cts : 6.62 /Pcs : 54</t>
  </si>
  <si>
    <t>+9.50-10</t>
  </si>
  <si>
    <t>Emerald-Oval Braclet</t>
  </si>
  <si>
    <t>J250000081116</t>
  </si>
  <si>
    <t>Cts :5.78/Pcs:47</t>
  </si>
  <si>
    <t>Ovals</t>
  </si>
  <si>
    <t>UXSC</t>
  </si>
  <si>
    <t>CQCC</t>
  </si>
  <si>
    <t>CUSCZ</t>
  </si>
  <si>
    <t>CXUC</t>
  </si>
  <si>
    <t>CTXC</t>
  </si>
  <si>
    <t>CCCZ</t>
  </si>
  <si>
    <t>CQSC</t>
  </si>
  <si>
    <t>J250000085190</t>
  </si>
  <si>
    <t>Cts :6.41/Pcs:44</t>
  </si>
  <si>
    <t>FG VVS-VS</t>
  </si>
  <si>
    <t>Half Emd-Half Princ Braclet</t>
  </si>
  <si>
    <t>J250000112856</t>
  </si>
  <si>
    <t>Cts : 8.57/Pcs: 50</t>
  </si>
  <si>
    <t>Princess</t>
  </si>
  <si>
    <t>Round-Marquise Brc</t>
  </si>
  <si>
    <t>74J8406025</t>
  </si>
  <si>
    <t>H SI2</t>
  </si>
  <si>
    <t>Fncy Yell Rd</t>
  </si>
  <si>
    <t>+7-7.50</t>
  </si>
  <si>
    <t>Fy Lt.Yw-SI-I</t>
  </si>
  <si>
    <t>Cts : 4.10/Pcs: 44</t>
  </si>
  <si>
    <t>Fncy Shape &amp; Fncy Col Brc</t>
  </si>
  <si>
    <t>J250000112882</t>
  </si>
  <si>
    <t>Cushion</t>
  </si>
  <si>
    <t>60</t>
  </si>
  <si>
    <t>HI VVS-VS</t>
  </si>
  <si>
    <t>GH VS</t>
  </si>
  <si>
    <t>Cts : 4.30 / Pcs : 59</t>
  </si>
  <si>
    <t>FY SI-P</t>
  </si>
  <si>
    <t>CSZZ</t>
  </si>
  <si>
    <t>Fancy Prin-Emd Brc</t>
  </si>
  <si>
    <t>J250000020098</t>
  </si>
  <si>
    <t>1/11</t>
  </si>
  <si>
    <t>FY VS-SI</t>
  </si>
  <si>
    <t>Cts :7.60/Pcs: 65</t>
  </si>
  <si>
    <t>Rounds-Emeralds Brc</t>
  </si>
  <si>
    <t>J250000122460</t>
  </si>
  <si>
    <t>Cts : 12.27/Pcs: 52</t>
  </si>
  <si>
    <t>CSCZ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</si>
</sst>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$-1009]#,##0.00"/>
    <numFmt numFmtId="166" formatCode="#,##0.000"/>
    <numFmt numFmtId="167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mbria"/>
      <family val="1"/>
    </font>
    <font>
      <b/>
      <sz val="9"/>
      <color rgb="FF33CC33"/>
      <name val="Cambria"/>
      <family val="1"/>
    </font>
    <font>
      <b/>
      <sz val="9"/>
      <color theme="1"/>
      <name val="Cambria"/>
      <family val="1"/>
    </font>
    <font>
      <sz val="9"/>
      <name val="Cambria"/>
      <family val="1"/>
    </font>
    <font>
      <sz val="9"/>
      <color theme="1"/>
      <name val="Cambria"/>
      <family val="1"/>
    </font>
    <font>
      <u/>
      <sz val="9"/>
      <color theme="10"/>
      <name val="Cambria"/>
      <family val="1"/>
    </font>
    <font>
      <sz val="9"/>
      <color rgb="FF0070C0"/>
      <name val="Cambria"/>
      <family val="1"/>
    </font>
    <font>
      <u/>
      <sz val="9"/>
      <color indexed="12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9"/>
      <color rgb="FF00B050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70C0"/>
      <name val="Cambria"/>
      <family val="1"/>
    </font>
    <font>
      <b/>
      <sz val="9"/>
      <color theme="1" tint="4.9989318521683403E-2"/>
      <name val="Cambria"/>
      <family val="1"/>
    </font>
    <font>
      <sz val="9"/>
      <color theme="1" tint="4.9989318521683403E-2"/>
      <name val="Cambria"/>
      <family val="1"/>
    </font>
    <font>
      <sz val="9"/>
      <color rgb="FFFF0000"/>
      <name val="Cambria"/>
      <family val="1"/>
    </font>
    <font>
      <u/>
      <sz val="9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59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left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66" fontId="6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left" vertical="center"/>
      <protection locked="0"/>
    </xf>
    <xf numFmtId="0" fontId="10" fillId="0" borderId="1" xfId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left" vertical="center"/>
    </xf>
    <xf numFmtId="2" fontId="3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center" vertical="center"/>
      <protection locked="0"/>
    </xf>
    <xf numFmtId="2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165" fontId="6" fillId="0" borderId="3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4" fontId="6" fillId="0" borderId="3" xfId="0" applyNumberFormat="1" applyFont="1" applyBorder="1" applyAlignment="1" applyProtection="1">
      <alignment horizontal="center" vertical="center"/>
      <protection locked="0"/>
    </xf>
    <xf numFmtId="165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65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left" vertical="center"/>
      <protection locked="0"/>
    </xf>
    <xf numFmtId="2" fontId="4" fillId="0" borderId="8" xfId="0" applyNumberFormat="1" applyFont="1" applyBorder="1" applyAlignment="1" applyProtection="1">
      <alignment horizontal="center" vertical="center"/>
      <protection locked="0"/>
    </xf>
    <xf numFmtId="165" fontId="6" fillId="0" borderId="8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6" fontId="6" fillId="0" borderId="8" xfId="0" applyNumberFormat="1" applyFont="1" applyBorder="1" applyAlignment="1" applyProtection="1">
      <alignment horizontal="center" vertical="center"/>
      <protection locked="0"/>
    </xf>
    <xf numFmtId="165" fontId="3" fillId="0" borderId="9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2" fontId="6" fillId="0" borderId="14" xfId="0" applyNumberFormat="1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2" fontId="3" fillId="0" borderId="14" xfId="0" applyNumberFormat="1" applyFont="1" applyBorder="1" applyAlignment="1" applyProtection="1">
      <alignment horizontal="left" vertical="center"/>
      <protection locked="0"/>
    </xf>
    <xf numFmtId="2" fontId="4" fillId="0" borderId="14" xfId="0" applyNumberFormat="1" applyFont="1" applyBorder="1" applyAlignment="1" applyProtection="1">
      <alignment horizontal="center" vertical="center"/>
      <protection locked="0"/>
    </xf>
    <xf numFmtId="166" fontId="6" fillId="0" borderId="14" xfId="0" applyNumberFormat="1" applyFont="1" applyBorder="1" applyAlignment="1" applyProtection="1">
      <alignment horizontal="center" vertical="center"/>
      <protection locked="0"/>
    </xf>
    <xf numFmtId="164" fontId="6" fillId="0" borderId="14" xfId="0" applyNumberFormat="1" applyFont="1" applyBorder="1" applyAlignment="1" applyProtection="1">
      <alignment horizontal="center" vertical="center"/>
      <protection locked="0"/>
    </xf>
    <xf numFmtId="4" fontId="6" fillId="0" borderId="14" xfId="0" applyNumberFormat="1" applyFont="1" applyBorder="1" applyAlignment="1" applyProtection="1">
      <alignment horizontal="center" vertical="center"/>
      <protection locked="0"/>
    </xf>
    <xf numFmtId="165" fontId="6" fillId="0" borderId="14" xfId="0" applyNumberFormat="1" applyFont="1" applyBorder="1" applyAlignment="1" applyProtection="1">
      <alignment horizontal="center" vertical="center"/>
      <protection locked="0"/>
    </xf>
    <xf numFmtId="165" fontId="6" fillId="0" borderId="15" xfId="0" applyNumberFormat="1" applyFont="1" applyBorder="1" applyAlignment="1" applyProtection="1">
      <alignment horizontal="center" vertical="center"/>
      <protection locked="0"/>
    </xf>
    <xf numFmtId="165" fontId="3" fillId="0" borderId="6" xfId="0" applyNumberFormat="1" applyFont="1" applyBorder="1" applyAlignment="1" applyProtection="1">
      <alignment horizontal="center" vertical="center"/>
      <protection locked="0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left" vertical="center"/>
      <protection locked="0"/>
    </xf>
    <xf numFmtId="0" fontId="10" fillId="0" borderId="3" xfId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2" fontId="6" fillId="0" borderId="8" xfId="0" applyNumberFormat="1" applyFont="1" applyBorder="1" applyAlignment="1" applyProtection="1">
      <alignment horizontal="left" vertical="center"/>
      <protection locked="0"/>
    </xf>
    <xf numFmtId="165" fontId="6" fillId="0" borderId="9" xfId="0" applyNumberFormat="1" applyFont="1" applyBorder="1" applyAlignment="1" applyProtection="1">
      <alignment horizontal="center" vertical="center"/>
      <protection locked="0"/>
    </xf>
    <xf numFmtId="164" fontId="3" fillId="0" borderId="15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2" fontId="6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2" fontId="6" fillId="0" borderId="20" xfId="0" applyNumberFormat="1" applyFont="1" applyBorder="1" applyAlignment="1" applyProtection="1">
      <alignment horizontal="left" vertical="center"/>
      <protection locked="0"/>
    </xf>
    <xf numFmtId="2" fontId="4" fillId="0" borderId="20" xfId="0" applyNumberFormat="1" applyFont="1" applyBorder="1" applyAlignment="1" applyProtection="1">
      <alignment horizontal="center" vertical="center"/>
      <protection locked="0"/>
    </xf>
    <xf numFmtId="165" fontId="6" fillId="0" borderId="20" xfId="0" applyNumberFormat="1" applyFont="1" applyBorder="1" applyAlignment="1" applyProtection="1">
      <alignment horizontal="center" vertical="center"/>
      <protection locked="0"/>
    </xf>
    <xf numFmtId="164" fontId="6" fillId="0" borderId="20" xfId="0" applyNumberFormat="1" applyFont="1" applyBorder="1" applyAlignment="1" applyProtection="1">
      <alignment horizontal="center" vertical="center"/>
      <protection locked="0"/>
    </xf>
    <xf numFmtId="4" fontId="6" fillId="0" borderId="20" xfId="0" applyNumberFormat="1" applyFont="1" applyBorder="1" applyAlignment="1" applyProtection="1">
      <alignment horizontal="center" vertical="center"/>
      <protection locked="0"/>
    </xf>
    <xf numFmtId="164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0" fillId="0" borderId="3" xfId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2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2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left" vertical="center"/>
    </xf>
    <xf numFmtId="165" fontId="3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67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65" fontId="9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2" fontId="18" fillId="0" borderId="0" xfId="0" applyNumberFormat="1" applyFont="1" applyFill="1" applyBorder="1" applyAlignment="1">
      <alignment horizontal="left" vertical="center"/>
    </xf>
    <xf numFmtId="164" fontId="18" fillId="0" borderId="0" xfId="0" applyNumberFormat="1" applyFont="1" applyFill="1" applyBorder="1" applyAlignment="1">
      <alignment horizontal="center" vertical="center"/>
    </xf>
    <xf numFmtId="167" fontId="18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167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left" vertical="center"/>
    </xf>
    <xf numFmtId="164" fontId="18" fillId="0" borderId="1" xfId="0" applyNumberFormat="1" applyFont="1" applyFill="1" applyBorder="1" applyAlignment="1">
      <alignment horizontal="center" vertical="center"/>
    </xf>
    <xf numFmtId="167" fontId="18" fillId="0" borderId="1" xfId="0" applyNumberFormat="1" applyFont="1" applyFill="1" applyBorder="1" applyAlignment="1">
      <alignment horizontal="center" vertical="center"/>
    </xf>
    <xf numFmtId="166" fontId="18" fillId="0" borderId="1" xfId="0" applyNumberFormat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167" fontId="3" fillId="0" borderId="11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/>
    </xf>
    <xf numFmtId="167" fontId="6" fillId="0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164" fontId="6" fillId="0" borderId="3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left" vertical="center"/>
    </xf>
    <xf numFmtId="167" fontId="6" fillId="0" borderId="8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center" vertical="center"/>
    </xf>
    <xf numFmtId="166" fontId="6" fillId="0" borderId="8" xfId="0" applyNumberFormat="1" applyFont="1" applyFill="1" applyBorder="1" applyAlignment="1">
      <alignment horizontal="center" vertical="center"/>
    </xf>
    <xf numFmtId="0" fontId="7" fillId="0" borderId="13" xfId="0" applyFont="1" applyFill="1" applyBorder="1"/>
    <xf numFmtId="0" fontId="7" fillId="0" borderId="14" xfId="0" applyFont="1" applyFill="1" applyBorder="1" applyAlignment="1">
      <alignment horizontal="left"/>
    </xf>
    <xf numFmtId="0" fontId="7" fillId="0" borderId="14" xfId="0" applyFont="1" applyFill="1" applyBorder="1"/>
    <xf numFmtId="0" fontId="5" fillId="0" borderId="14" xfId="0" applyFont="1" applyFill="1" applyBorder="1"/>
    <xf numFmtId="0" fontId="9" fillId="0" borderId="15" xfId="0" applyFont="1" applyFill="1" applyBorder="1"/>
    <xf numFmtId="0" fontId="3" fillId="0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left" vertical="center"/>
    </xf>
    <xf numFmtId="167" fontId="6" fillId="0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164" fontId="6" fillId="0" borderId="14" xfId="0" applyNumberFormat="1" applyFont="1" applyFill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164" fontId="9" fillId="0" borderId="15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49" fontId="18" fillId="0" borderId="3" xfId="0" applyNumberFormat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center" vertical="center"/>
    </xf>
    <xf numFmtId="2" fontId="17" fillId="0" borderId="3" xfId="0" applyNumberFormat="1" applyFont="1" applyFill="1" applyBorder="1" applyAlignment="1">
      <alignment horizontal="left" vertical="center"/>
    </xf>
    <xf numFmtId="164" fontId="18" fillId="0" borderId="3" xfId="0" applyNumberFormat="1" applyFont="1" applyFill="1" applyBorder="1" applyAlignment="1">
      <alignment horizontal="center" vertical="center"/>
    </xf>
    <xf numFmtId="167" fontId="18" fillId="0" borderId="3" xfId="0" applyNumberFormat="1" applyFont="1" applyFill="1" applyBorder="1" applyAlignment="1">
      <alignment horizontal="center" vertical="center"/>
    </xf>
    <xf numFmtId="166" fontId="18" fillId="0" borderId="3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9" fillId="0" borderId="8" xfId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center"/>
    </xf>
    <xf numFmtId="49" fontId="18" fillId="0" borderId="8" xfId="0" applyNumberFormat="1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center" vertical="center"/>
    </xf>
    <xf numFmtId="2" fontId="17" fillId="0" borderId="8" xfId="0" applyNumberFormat="1" applyFont="1" applyFill="1" applyBorder="1" applyAlignment="1">
      <alignment horizontal="left" vertical="center"/>
    </xf>
    <xf numFmtId="167" fontId="18" fillId="0" borderId="8" xfId="0" applyNumberFormat="1" applyFont="1" applyFill="1" applyBorder="1" applyAlignment="1">
      <alignment horizontal="center" vertical="center"/>
    </xf>
    <xf numFmtId="166" fontId="18" fillId="0" borderId="8" xfId="0" applyNumberFormat="1" applyFont="1" applyFill="1" applyBorder="1" applyAlignment="1">
      <alignment horizontal="center" vertical="center"/>
    </xf>
    <xf numFmtId="164" fontId="18" fillId="0" borderId="8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/>
    </xf>
    <xf numFmtId="0" fontId="19" fillId="0" borderId="14" xfId="1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/>
    </xf>
    <xf numFmtId="2" fontId="17" fillId="0" borderId="14" xfId="0" applyNumberFormat="1" applyFont="1" applyFill="1" applyBorder="1" applyAlignment="1">
      <alignment horizontal="left" vertical="center"/>
    </xf>
    <xf numFmtId="164" fontId="18" fillId="0" borderId="14" xfId="0" applyNumberFormat="1" applyFont="1" applyFill="1" applyBorder="1" applyAlignment="1">
      <alignment horizontal="center" vertical="center"/>
    </xf>
    <xf numFmtId="167" fontId="18" fillId="0" borderId="14" xfId="0" applyNumberFormat="1" applyFont="1" applyFill="1" applyBorder="1" applyAlignment="1">
      <alignment horizontal="center" vertical="center"/>
    </xf>
    <xf numFmtId="166" fontId="18" fillId="0" borderId="14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20" fillId="0" borderId="3" xfId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167" fontId="7" fillId="0" borderId="14" xfId="0" applyNumberFormat="1" applyFont="1" applyBorder="1" applyAlignment="1">
      <alignment horizontal="center" vertical="center"/>
    </xf>
    <xf numFmtId="166" fontId="7" fillId="0" borderId="14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5" fontId="16" fillId="0" borderId="3" xfId="0" applyNumberFormat="1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165" fontId="16" fillId="0" borderId="8" xfId="0" applyNumberFormat="1" applyFont="1" applyFill="1" applyBorder="1" applyAlignment="1">
      <alignment horizontal="center" vertical="center"/>
    </xf>
    <xf numFmtId="0" fontId="16" fillId="0" borderId="14" xfId="0" applyFont="1" applyFill="1" applyBorder="1"/>
    <xf numFmtId="165" fontId="16" fillId="0" borderId="14" xfId="0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horizontal="center" vertical="center"/>
    </xf>
    <xf numFmtId="164" fontId="16" fillId="0" borderId="15" xfId="0" applyNumberFormat="1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3" xfId="2" xr:uid="{746EFE9C-E3C7-40B8-98BF-AEF5BBD30DD5}"/>
  </cellStyles>
  <dxfs count="91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Cambria"/>
        <family val="1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Cambria"/>
        <family val="1"/>
        <scheme val="none"/>
      </font>
      <numFmt numFmtId="165" formatCode="[$$-1009]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Cambria"/>
        <family val="1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9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9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9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9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9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7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9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top style="hair">
          <color auto="1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[$$-1009]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[$$-1009]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CC33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border>
        <top style="hair">
          <color auto="1"/>
        </top>
      </border>
    </dxf>
    <dxf>
      <font>
        <b val="0"/>
        <family val="1"/>
      </font>
      <numFmt numFmtId="164" formatCode="&quot;$&quot;#,##0.0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</dxfs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338667</xdr:colOff>
      <xdr:row>1</xdr:row>
      <xdr:rowOff>177800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66C7E42-C8AB-4FBA-AEDE-A8AC10F5C773}"/>
            </a:ext>
          </a:extLst>
        </xdr:cNvPr>
        <xdr:cNvSpPr txBox="1"/>
      </xdr:nvSpPr>
      <xdr:spPr>
        <a:xfrm>
          <a:off x="3104727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E" sz="1100"/>
        </a:p>
      </xdr:txBody>
    </xdr:sp>
    <xdr:clientData/>
  </xdr:oneCellAnchor>
  <xdr:oneCellAnchor>
    <xdr:from>
      <xdr:col>2</xdr:col>
      <xdr:colOff>338667</xdr:colOff>
      <xdr:row>1</xdr:row>
      <xdr:rowOff>177800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F517B0-3DC3-464C-B305-C71F41FFC172}"/>
            </a:ext>
          </a:extLst>
        </xdr:cNvPr>
        <xdr:cNvSpPr txBox="1"/>
      </xdr:nvSpPr>
      <xdr:spPr>
        <a:xfrm>
          <a:off x="3104727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E" sz="1100"/>
        </a:p>
      </xdr:txBody>
    </xdr:sp>
    <xdr:clientData/>
  </xdr:oneCellAnchor>
  <xdr:twoCellAnchor editAs="oneCell">
    <xdr:from>
      <xdr:col>2</xdr:col>
      <xdr:colOff>114300</xdr:colOff>
      <xdr:row>3</xdr:row>
      <xdr:rowOff>53341</xdr:rowOff>
    </xdr:from>
    <xdr:to>
      <xdr:col>3</xdr:col>
      <xdr:colOff>640080</xdr:colOff>
      <xdr:row>5</xdr:row>
      <xdr:rowOff>189533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FB120B-D092-74BD-5B54-5F63199A4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4120" y="464821"/>
          <a:ext cx="914400" cy="547672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</xdr:colOff>
      <xdr:row>8</xdr:row>
      <xdr:rowOff>22860</xdr:rowOff>
    </xdr:from>
    <xdr:to>
      <xdr:col>3</xdr:col>
      <xdr:colOff>800100</xdr:colOff>
      <xdr:row>10</xdr:row>
      <xdr:rowOff>181867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E1CEF4-288B-4C15-DB16-8CB6A3487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8880" y="1463040"/>
          <a:ext cx="1089660" cy="570487"/>
        </a:xfrm>
        <a:prstGeom prst="rect">
          <a:avLst/>
        </a:prstGeom>
      </xdr:spPr>
    </xdr:pic>
    <xdr:clientData/>
  </xdr:twoCellAnchor>
  <xdr:twoCellAnchor editAs="oneCell">
    <xdr:from>
      <xdr:col>1</xdr:col>
      <xdr:colOff>868680</xdr:colOff>
      <xdr:row>14</xdr:row>
      <xdr:rowOff>91441</xdr:rowOff>
    </xdr:from>
    <xdr:to>
      <xdr:col>1</xdr:col>
      <xdr:colOff>2057399</xdr:colOff>
      <xdr:row>17</xdr:row>
      <xdr:rowOff>114301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AE64EC-37D6-FABA-C58F-3D476C17B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0620" y="2971801"/>
          <a:ext cx="1188719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20</xdr:row>
      <xdr:rowOff>68580</xdr:rowOff>
    </xdr:from>
    <xdr:to>
      <xdr:col>3</xdr:col>
      <xdr:colOff>785885</xdr:colOff>
      <xdr:row>28</xdr:row>
      <xdr:rowOff>190500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451BA49-C879-6A22-2A84-1CC128F03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46020" y="3977640"/>
          <a:ext cx="1098305" cy="1767840"/>
        </a:xfrm>
        <a:prstGeom prst="rect">
          <a:avLst/>
        </a:prstGeom>
      </xdr:spPr>
    </xdr:pic>
    <xdr:clientData/>
  </xdr:twoCellAnchor>
  <xdr:twoCellAnchor editAs="oneCell">
    <xdr:from>
      <xdr:col>2</xdr:col>
      <xdr:colOff>68582</xdr:colOff>
      <xdr:row>34</xdr:row>
      <xdr:rowOff>160021</xdr:rowOff>
    </xdr:from>
    <xdr:to>
      <xdr:col>3</xdr:col>
      <xdr:colOff>811392</xdr:colOff>
      <xdr:row>40</xdr:row>
      <xdr:rowOff>129540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C5CD6CB-689F-523E-D84B-E4FAAF967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38402" y="7155181"/>
          <a:ext cx="1131430" cy="1203959"/>
        </a:xfrm>
        <a:prstGeom prst="rect">
          <a:avLst/>
        </a:prstGeom>
      </xdr:spPr>
    </xdr:pic>
    <xdr:clientData/>
  </xdr:twoCellAnchor>
  <xdr:twoCellAnchor editAs="oneCell">
    <xdr:from>
      <xdr:col>8</xdr:col>
      <xdr:colOff>251460</xdr:colOff>
      <xdr:row>44</xdr:row>
      <xdr:rowOff>0</xdr:rowOff>
    </xdr:from>
    <xdr:to>
      <xdr:col>19</xdr:col>
      <xdr:colOff>8051</xdr:colOff>
      <xdr:row>77</xdr:row>
      <xdr:rowOff>168242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CEE2B6D-CFA5-BE91-436D-930A041A4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0280" y="9052560"/>
          <a:ext cx="5959271" cy="69500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6BB122-7E36-4B47-894A-2F345DB15658}" name="Table1" displayName="Table1" ref="A2:T42" totalsRowCount="1" headerRowDxfId="90" dataDxfId="88" totalsRowDxfId="86" headerRowBorderDxfId="89" tableBorderDxfId="87" totalsRowBorderDxfId="85">
  <autoFilter ref="A2:T41" xr:uid="{176BB122-7E36-4B47-894A-2F345DB15658}"/>
  <tableColumns count="20">
    <tableColumn id="1" xr3:uid="{49F0441B-F2C4-4DD4-A9AD-49AA4D10CABA}" name="Sr." totalsRowFunction="count" dataDxfId="84" totalsRowDxfId="83"/>
    <tableColumn id="2" xr3:uid="{91BF0456-09D8-49D9-869B-C393EE083C59}" name="ITEM" dataDxfId="82" totalsRowDxfId="81"/>
    <tableColumn id="3" xr3:uid="{874EE817-1E1D-4D5A-81B1-FC836E7F340A}" name="Lab" dataDxfId="80" totalsRowDxfId="79"/>
    <tableColumn id="4" xr3:uid="{96F71686-6962-43F7-B4B0-DB489984423F}" name="Certificate" dataDxfId="78" totalsRowDxfId="77"/>
    <tableColumn id="5" xr3:uid="{41A36CB0-6935-4379-8675-0960F6856BFC}" name="Parcel Id" dataDxfId="76" totalsRowDxfId="75"/>
    <tableColumn id="6" xr3:uid="{BF4DB1BA-F57B-4853-9394-95AC681DD7E7}" name="Size Avg." dataDxfId="74" totalsRowDxfId="73"/>
    <tableColumn id="7" xr3:uid="{80AD8F49-44E2-49B6-AA79-512278B16868}" name="Avg" dataDxfId="72" totalsRowDxfId="71">
      <calculatedColumnFormula>I3/H3</calculatedColumnFormula>
    </tableColumn>
    <tableColumn id="8" xr3:uid="{FE920E71-0BA4-4FC2-B535-8A9A7EC2B0D9}" name="Pcs" totalsRowFunction="sum" dataDxfId="70" totalsRowDxfId="69"/>
    <tableColumn id="9" xr3:uid="{655C12B5-5F24-4811-A702-310743421CF2}" name="Cts" totalsRowFunction="sum" dataDxfId="68" totalsRowDxfId="67"/>
    <tableColumn id="10" xr3:uid="{44CA6573-A521-4AFD-93A3-EBB745EB3848}" name="Lab Cla" dataDxfId="66" totalsRowDxfId="65"/>
    <tableColumn id="11" xr3:uid="{581CB030-C678-41CE-A622-AF5703F34E93}" name="LOT" dataDxfId="64" totalsRowDxfId="63"/>
    <tableColumn id="12" xr3:uid="{D0C6BAAF-B87E-44BA-B4AD-A080F69E633B}" name="Per/ct $" dataDxfId="62" totalsRowDxfId="61"/>
    <tableColumn id="13" xr3:uid="{B3B4ED1E-6B03-4FF9-965D-14695D3AD5E9}" name="Diam Total" totalsRowFunction="sum" dataDxfId="60" totalsRowDxfId="59">
      <calculatedColumnFormula>L3*I3</calculatedColumnFormula>
    </tableColumn>
    <tableColumn id="14" xr3:uid="{5767BF6E-E006-4218-AFDB-F5B41629BB03}" name="Gold/gm" dataDxfId="58" totalsRowDxfId="57"/>
    <tableColumn id="15" xr3:uid="{4D970061-15E3-41F2-AE72-65261B65DF84}" name="Gross Gm" totalsRowFunction="sum" dataDxfId="56" totalsRowDxfId="55"/>
    <tableColumn id="16" xr3:uid="{56AF2C04-4BC0-4F34-BAAC-C3254E5F0811}" name="Net  Gm" totalsRowFunction="sum" dataDxfId="54" totalsRowDxfId="53"/>
    <tableColumn id="17" xr3:uid="{0538BB75-72D4-4253-8C5E-0A5973E06AD0}" name="Gold Total" totalsRowFunction="sum" dataDxfId="52" totalsRowDxfId="51"/>
    <tableColumn id="18" xr3:uid="{516EF00C-DF6D-49CE-95C2-4058584CAF07}" name="Labour" totalsRowFunction="sum" dataDxfId="50" totalsRowDxfId="49"/>
    <tableColumn id="19" xr3:uid="{E5C606F2-6DF1-4FD0-A253-A8132CB5DF5E}" name="Cert" totalsRowFunction="sum" dataDxfId="48" totalsRowDxfId="47"/>
    <tableColumn id="20" xr3:uid="{41D7A8DD-2D7E-4D33-8A7E-4054BA1750E6}" name="Total Amt" totalsRowFunction="sum" dataDxfId="46" totalsRowDxfId="4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13F420-F150-470E-A7B6-92ACD51E4F3B}" name="Table2" displayName="Table2" ref="A2:T40" totalsRowCount="1" headerRowDxfId="4" totalsRowDxfId="6" headerRowBorderDxfId="5" tableBorderDxfId="44" totalsRowBorderDxfId="43">
  <autoFilter ref="A2:T39" xr:uid="{8D13F420-F150-470E-A7B6-92ACD51E4F3B}"/>
  <tableColumns count="20">
    <tableColumn id="1" xr3:uid="{B944B8B5-65AB-45E5-A57A-328E0868CBE7}" name="Sr" totalsRowFunction="count" dataDxfId="42" totalsRowDxfId="41"/>
    <tableColumn id="2" xr3:uid="{8B0EB978-D7E1-4582-840A-A8D3C173684A}" name="ITEM" dataDxfId="40" totalsRowDxfId="39"/>
    <tableColumn id="3" xr3:uid="{051A78E3-D5E1-4691-95C6-FEE05ECA7720}" name="LAB" dataDxfId="38" totalsRowDxfId="37"/>
    <tableColumn id="4" xr3:uid="{EA3FE03F-87C8-4988-AB7A-74A12B39671D}" name="Cert Number" dataDxfId="36" totalsRowDxfId="35"/>
    <tableColumn id="5" xr3:uid="{10622F9A-BBFF-4557-9149-96B8F5494A00}" name="Parcel Id" dataDxfId="34" totalsRowDxfId="33"/>
    <tableColumn id="6" xr3:uid="{6167C838-0970-4164-8288-2FC15BD455F3}" name="Size2" dataDxfId="32" totalsRowDxfId="31"/>
    <tableColumn id="7" xr3:uid="{891F8094-082C-4F19-BE5E-A99AE9785A91}" name="Avg Pts" dataDxfId="30" totalsRowDxfId="29">
      <calculatedColumnFormula>I3/H3</calculatedColumnFormula>
    </tableColumn>
    <tableColumn id="8" xr3:uid="{D828A9B4-9B61-416D-BE56-DF83E8F64181}" name="No.Pcs" totalsRowFunction="sum" dataDxfId="28" totalsRowDxfId="27"/>
    <tableColumn id="9" xr3:uid="{B070AC3F-494A-4CA0-BBBB-63C9FF1C0348}" name="Diam Cts" totalsRowFunction="sum" dataDxfId="26" totalsRowDxfId="25"/>
    <tableColumn id="10" xr3:uid="{144E0D1E-41F3-404F-BF26-C0F52386E081}" name="Col - Clarity" dataDxfId="24" totalsRowDxfId="23"/>
    <tableColumn id="11" xr3:uid="{D101B5F7-B5E9-40B4-BC9D-0E8EBAB6D7AC}" name="LOT" dataDxfId="3" totalsRowDxfId="22"/>
    <tableColumn id="12" xr3:uid="{E3765086-7350-49A2-928D-A50B186D1771}" name="Per/ct" dataDxfId="1" totalsRowDxfId="21"/>
    <tableColumn id="13" xr3:uid="{B63A0B6A-6DD8-4868-A3BA-B5597955529A}" name="Diam Total" totalsRowFunction="sum" dataDxfId="2" totalsRowDxfId="20">
      <calculatedColumnFormula>L3*I3</calculatedColumnFormula>
    </tableColumn>
    <tableColumn id="14" xr3:uid="{6DD40A18-63BF-414E-8557-1AC87E17FE98}" name="Gold/gm" dataDxfId="19" totalsRowDxfId="18"/>
    <tableColumn id="15" xr3:uid="{1B028C68-912E-4212-A26E-8CF78C0513E4}" name="Gross Gm" totalsRowFunction="sum" dataDxfId="17" totalsRowDxfId="16"/>
    <tableColumn id="16" xr3:uid="{985176B8-9017-4354-A948-BF8016E618EF}" name="Net Gm" totalsRowFunction="sum" dataDxfId="15" totalsRowDxfId="14"/>
    <tableColumn id="17" xr3:uid="{543FCF56-47D7-40F5-9487-A16F0F969C7B}" name="Gold Total" totalsRowFunction="sum" dataDxfId="13" totalsRowDxfId="12"/>
    <tableColumn id="18" xr3:uid="{FF07F340-66E7-4EC1-A0D8-94379B87D00E}" name="Labour" totalsRowFunction="sum" dataDxfId="11" totalsRowDxfId="10"/>
    <tableColumn id="19" xr3:uid="{86CC3F9E-1538-44C2-9F05-9FFCA93AFB91}" name="Cert Exp" totalsRowFunction="sum" dataDxfId="9" totalsRowDxfId="8"/>
    <tableColumn id="20" xr3:uid="{F9E0FB98-FCEE-49A9-991C-846989F47657}" name="Total Amt" totalsRowFunction="sum" dataDxfId="7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antonia.aspgulf.net/certificate/J250000048215%20EF%20SI%2013.26ct%20Nk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ntonia.aspgulf.net/certificate/J250000040438%209.07ct%20Nks.pdf" TargetMode="External"/><Relationship Id="rId1" Type="http://schemas.openxmlformats.org/officeDocument/2006/relationships/hyperlink" Target="https://antonia.aspgulf.net/certificate/J240000112221%20EF%20VS-SI%2024.11ct.pdf" TargetMode="External"/><Relationship Id="rId6" Type="http://schemas.openxmlformats.org/officeDocument/2006/relationships/hyperlink" Target="https://antonia.aspgulf.net/certificate/J240000084814%20EF%20VS%2028.41ct%20Emd%20CS%20Nks.pdf" TargetMode="External"/><Relationship Id="rId5" Type="http://schemas.openxmlformats.org/officeDocument/2006/relationships/hyperlink" Target="https://antonia.aspgulf.net/certificate/Emd%20Nks%20Certs%20used%20in%2026.02ct%20Nks.pdf" TargetMode="External"/><Relationship Id="rId4" Type="http://schemas.openxmlformats.org/officeDocument/2006/relationships/hyperlink" Target="https://antonia.aspgulf.net/certificate/32J8071224%20IGI%20Nks%2024.39ct.pdf" TargetMode="External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ntonia.aspgulf.net/certificate/74J8406025%204.10ct-44pcs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antonia.aspgulf.net/certificate/J250000122437%206.38ct-51pcs.pdf" TargetMode="External"/><Relationship Id="rId7" Type="http://schemas.openxmlformats.org/officeDocument/2006/relationships/hyperlink" Target="https://antonia.aspgulf.net/certificate/J250000112856%208.57ct.pdf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antonia.aspgulf.net/certificate/J250000112868%205.02ct.pdf" TargetMode="External"/><Relationship Id="rId1" Type="http://schemas.openxmlformats.org/officeDocument/2006/relationships/hyperlink" Target="https://antonia.aspgulf.net/certificate/J250000112869%204.68ct.pdf" TargetMode="External"/><Relationship Id="rId6" Type="http://schemas.openxmlformats.org/officeDocument/2006/relationships/hyperlink" Target="https://antonia.aspgulf.net/certificate/J250000085190%2044pcs-6.41ct.pdf" TargetMode="External"/><Relationship Id="rId11" Type="http://schemas.openxmlformats.org/officeDocument/2006/relationships/hyperlink" Target="https://antonia.aspgulf.net/certificate/J250000122460-12.27ct-52pcs.pdf" TargetMode="External"/><Relationship Id="rId5" Type="http://schemas.openxmlformats.org/officeDocument/2006/relationships/hyperlink" Target="https://antonia.aspgulf.net/certificate/J250000081116%20EF%20VS-VVS%205.78ct-47pcs.pdf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antonia.aspgulf.net/certificate/J250000020098%2065pcs-%207.60ct.pdf" TargetMode="External"/><Relationship Id="rId4" Type="http://schemas.openxmlformats.org/officeDocument/2006/relationships/hyperlink" Target="https://antonia.aspgulf.net/certificate/J250000053266%20EF%20VS-SI%206.62ct.pdf" TargetMode="External"/><Relationship Id="rId9" Type="http://schemas.openxmlformats.org/officeDocument/2006/relationships/hyperlink" Target="https://antonia.aspgulf.net/certificate/J250000112882%204.30ct.pdf" TargetMode="External"/><Relationship Id="rId1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32EF-A0CB-44B5-937D-72BE5E5D36D5}">
  <dimension ref="A1:T45"/>
  <sheetViews>
    <sheetView zoomScaleNormal="100" workbookViewId="0">
      <pane ySplit="2" topLeftCell="A39" activePane="bottomLeft" state="frozen"/>
      <selection pane="bottomLeft" activeCell="A44" sqref="A44:C44"/>
    </sheetView>
  </sheetViews>
  <sheetFormatPr defaultColWidth="8.88671875" defaultRowHeight="16.2" customHeight="1" x14ac:dyDescent="0.2"/>
  <cols>
    <col min="1" max="1" width="4.109375" style="2" customWidth="1"/>
    <col min="2" max="2" width="30.44140625" style="2" bestFit="1" customWidth="1"/>
    <col min="3" max="3" width="5.6640625" style="2" customWidth="1"/>
    <col min="4" max="4" width="12.33203125" style="5" customWidth="1"/>
    <col min="5" max="5" width="9.6640625" style="2" customWidth="1"/>
    <col min="6" max="6" width="9.5546875" style="2" customWidth="1"/>
    <col min="7" max="7" width="7.33203125" style="2" customWidth="1"/>
    <col min="8" max="8" width="5.44140625" style="2" customWidth="1"/>
    <col min="9" max="9" width="7" style="2" customWidth="1"/>
    <col min="10" max="10" width="11.109375" style="2" customWidth="1"/>
    <col min="11" max="11" width="6.33203125" style="2" customWidth="1"/>
    <col min="12" max="12" width="7.88671875" style="2" customWidth="1"/>
    <col min="13" max="13" width="9.88671875" style="2" customWidth="1"/>
    <col min="14" max="15" width="7.33203125" style="2" customWidth="1"/>
    <col min="16" max="16" width="7.109375" style="2" customWidth="1"/>
    <col min="17" max="17" width="8.6640625" style="2" customWidth="1"/>
    <col min="18" max="19" width="8.88671875" style="2"/>
    <col min="20" max="20" width="10.44140625" style="2" customWidth="1"/>
    <col min="21" max="16384" width="8.88671875" style="2"/>
  </cols>
  <sheetData>
    <row r="1" spans="1:20" s="6" customFormat="1" ht="16.2" customHeight="1" x14ac:dyDescent="0.3">
      <c r="A1" s="127" t="s">
        <v>78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0" ht="16.2" customHeight="1" x14ac:dyDescent="0.2">
      <c r="A2" s="22" t="s">
        <v>0</v>
      </c>
      <c r="B2" s="23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6" t="s">
        <v>6</v>
      </c>
      <c r="H2" s="24" t="s">
        <v>7</v>
      </c>
      <c r="I2" s="24" t="s">
        <v>8</v>
      </c>
      <c r="J2" s="23" t="s">
        <v>9</v>
      </c>
      <c r="K2" s="24" t="s">
        <v>40</v>
      </c>
      <c r="L2" s="27" t="s">
        <v>41</v>
      </c>
      <c r="M2" s="28" t="s">
        <v>42</v>
      </c>
      <c r="N2" s="28" t="s">
        <v>43</v>
      </c>
      <c r="O2" s="26" t="s">
        <v>44</v>
      </c>
      <c r="P2" s="29" t="s">
        <v>45</v>
      </c>
      <c r="Q2" s="28" t="s">
        <v>46</v>
      </c>
      <c r="R2" s="28" t="s">
        <v>47</v>
      </c>
      <c r="S2" s="28" t="s">
        <v>48</v>
      </c>
      <c r="T2" s="30" t="s">
        <v>49</v>
      </c>
    </row>
    <row r="3" spans="1:20" ht="16.2" customHeight="1" x14ac:dyDescent="0.2">
      <c r="A3" s="31">
        <v>1</v>
      </c>
      <c r="B3" s="32" t="s">
        <v>10</v>
      </c>
      <c r="C3" s="33" t="s">
        <v>11</v>
      </c>
      <c r="D3" s="32" t="s">
        <v>12</v>
      </c>
      <c r="E3" s="34" t="s">
        <v>13</v>
      </c>
      <c r="F3" s="35" t="s">
        <v>14</v>
      </c>
      <c r="G3" s="34">
        <f>I3/H3</f>
        <v>0.55625000000000002</v>
      </c>
      <c r="H3" s="36">
        <v>8</v>
      </c>
      <c r="I3" s="34">
        <v>4.45</v>
      </c>
      <c r="J3" s="37" t="s">
        <v>15</v>
      </c>
      <c r="K3" s="36" t="s">
        <v>50</v>
      </c>
      <c r="L3" s="38">
        <v>925</v>
      </c>
      <c r="M3" s="39">
        <f>L3*I3</f>
        <v>4116.25</v>
      </c>
      <c r="N3" s="40"/>
      <c r="O3" s="34"/>
      <c r="P3" s="41"/>
      <c r="Q3" s="39"/>
      <c r="R3" s="39"/>
      <c r="S3" s="39"/>
      <c r="T3" s="42"/>
    </row>
    <row r="4" spans="1:20" ht="16.2" customHeight="1" x14ac:dyDescent="0.2">
      <c r="A4" s="43"/>
      <c r="B4" s="16" t="s">
        <v>16</v>
      </c>
      <c r="C4" s="7"/>
      <c r="D4" s="7"/>
      <c r="E4" s="8" t="s">
        <v>17</v>
      </c>
      <c r="F4" s="9" t="s">
        <v>18</v>
      </c>
      <c r="G4" s="8">
        <f t="shared" ref="G4:G30" si="0">I4/H4</f>
        <v>0.26400000000000001</v>
      </c>
      <c r="H4" s="10">
        <v>5</v>
      </c>
      <c r="I4" s="8">
        <v>1.32</v>
      </c>
      <c r="J4" s="11" t="s">
        <v>15</v>
      </c>
      <c r="K4" s="10" t="s">
        <v>51</v>
      </c>
      <c r="L4" s="12">
        <v>750</v>
      </c>
      <c r="M4" s="13">
        <f t="shared" ref="M4:M30" si="1">L4*I4</f>
        <v>990</v>
      </c>
      <c r="N4" s="14"/>
      <c r="O4" s="8"/>
      <c r="P4" s="15"/>
      <c r="Q4" s="13"/>
      <c r="R4" s="13"/>
      <c r="S4" s="13"/>
      <c r="T4" s="44"/>
    </row>
    <row r="5" spans="1:20" ht="16.2" customHeight="1" x14ac:dyDescent="0.2">
      <c r="A5" s="43"/>
      <c r="B5" s="7" t="s">
        <v>19</v>
      </c>
      <c r="C5" s="7"/>
      <c r="D5" s="7"/>
      <c r="E5" s="8" t="s">
        <v>20</v>
      </c>
      <c r="F5" s="9" t="s">
        <v>21</v>
      </c>
      <c r="G5" s="8">
        <f t="shared" si="0"/>
        <v>2.6588235294117645E-2</v>
      </c>
      <c r="H5" s="10">
        <v>85</v>
      </c>
      <c r="I5" s="8">
        <v>2.2599999999999998</v>
      </c>
      <c r="J5" s="11" t="s">
        <v>15</v>
      </c>
      <c r="K5" s="10" t="s">
        <v>52</v>
      </c>
      <c r="L5" s="12">
        <v>450</v>
      </c>
      <c r="M5" s="13">
        <f t="shared" si="1"/>
        <v>1016.9999999999999</v>
      </c>
      <c r="N5" s="14"/>
      <c r="O5" s="8"/>
      <c r="P5" s="15"/>
      <c r="Q5" s="13"/>
      <c r="R5" s="13"/>
      <c r="S5" s="13"/>
      <c r="T5" s="44"/>
    </row>
    <row r="6" spans="1:20" ht="16.2" customHeight="1" x14ac:dyDescent="0.2">
      <c r="A6" s="45"/>
      <c r="B6" s="46"/>
      <c r="C6" s="46"/>
      <c r="D6" s="46"/>
      <c r="E6" s="47" t="s">
        <v>20</v>
      </c>
      <c r="F6" s="48" t="s">
        <v>22</v>
      </c>
      <c r="G6" s="47">
        <f t="shared" si="0"/>
        <v>2.0799999999999999E-2</v>
      </c>
      <c r="H6" s="49">
        <v>50</v>
      </c>
      <c r="I6" s="47">
        <v>1.04</v>
      </c>
      <c r="J6" s="50"/>
      <c r="K6" s="49" t="s">
        <v>52</v>
      </c>
      <c r="L6" s="51">
        <v>450</v>
      </c>
      <c r="M6" s="52">
        <f t="shared" si="1"/>
        <v>468</v>
      </c>
      <c r="N6" s="53">
        <v>135</v>
      </c>
      <c r="O6" s="47">
        <v>18.87</v>
      </c>
      <c r="P6" s="54">
        <v>17.056000000000001</v>
      </c>
      <c r="Q6" s="52">
        <f>P6*N6</f>
        <v>2302.56</v>
      </c>
      <c r="R6" s="52">
        <v>450</v>
      </c>
      <c r="S6" s="52">
        <f>19.5*9.07</f>
        <v>176.86500000000001</v>
      </c>
      <c r="T6" s="55">
        <f>S6+R6+Q6+M3+M4+M5+M6</f>
        <v>9520.6749999999993</v>
      </c>
    </row>
    <row r="7" spans="1:20" ht="16.2" customHeight="1" x14ac:dyDescent="0.2">
      <c r="A7" s="56"/>
      <c r="B7" s="57"/>
      <c r="C7" s="57"/>
      <c r="D7" s="57"/>
      <c r="E7" s="58"/>
      <c r="F7" s="59"/>
      <c r="G7" s="58"/>
      <c r="H7" s="60"/>
      <c r="I7" s="58"/>
      <c r="J7" s="61"/>
      <c r="K7" s="60"/>
      <c r="L7" s="62"/>
      <c r="M7" s="63"/>
      <c r="N7" s="64"/>
      <c r="O7" s="58"/>
      <c r="P7" s="65"/>
      <c r="Q7" s="66"/>
      <c r="R7" s="66"/>
      <c r="S7" s="66"/>
      <c r="T7" s="67"/>
    </row>
    <row r="8" spans="1:20" ht="16.2" customHeight="1" x14ac:dyDescent="0.2">
      <c r="A8" s="31">
        <v>2</v>
      </c>
      <c r="B8" s="32" t="s">
        <v>23</v>
      </c>
      <c r="C8" s="33" t="s">
        <v>11</v>
      </c>
      <c r="D8" s="32" t="s">
        <v>24</v>
      </c>
      <c r="E8" s="34" t="s">
        <v>13</v>
      </c>
      <c r="F8" s="35" t="s">
        <v>14</v>
      </c>
      <c r="G8" s="34">
        <f t="shared" si="0"/>
        <v>0.51333333333333331</v>
      </c>
      <c r="H8" s="36">
        <v>6</v>
      </c>
      <c r="I8" s="34">
        <v>3.08</v>
      </c>
      <c r="J8" s="37" t="s">
        <v>25</v>
      </c>
      <c r="K8" s="36" t="s">
        <v>50</v>
      </c>
      <c r="L8" s="38">
        <v>875</v>
      </c>
      <c r="M8" s="39">
        <f t="shared" si="1"/>
        <v>2695</v>
      </c>
      <c r="N8" s="40"/>
      <c r="O8" s="34"/>
      <c r="P8" s="41"/>
      <c r="Q8" s="39"/>
      <c r="R8" s="39"/>
      <c r="S8" s="39"/>
      <c r="T8" s="42"/>
    </row>
    <row r="9" spans="1:20" ht="16.2" customHeight="1" x14ac:dyDescent="0.2">
      <c r="A9" s="43"/>
      <c r="B9" s="16" t="s">
        <v>26</v>
      </c>
      <c r="C9" s="7"/>
      <c r="D9" s="7"/>
      <c r="E9" s="8" t="s">
        <v>20</v>
      </c>
      <c r="F9" s="9" t="s">
        <v>27</v>
      </c>
      <c r="G9" s="8">
        <f t="shared" si="0"/>
        <v>9.0263157894736851E-2</v>
      </c>
      <c r="H9" s="10">
        <v>38</v>
      </c>
      <c r="I9" s="8">
        <v>3.43</v>
      </c>
      <c r="J9" s="11"/>
      <c r="K9" s="10" t="s">
        <v>53</v>
      </c>
      <c r="L9" s="12">
        <v>500</v>
      </c>
      <c r="M9" s="13">
        <f t="shared" si="1"/>
        <v>1715</v>
      </c>
      <c r="N9" s="14"/>
      <c r="O9" s="8"/>
      <c r="P9" s="15"/>
      <c r="Q9" s="13"/>
      <c r="R9" s="13"/>
      <c r="S9" s="13"/>
      <c r="T9" s="44"/>
    </row>
    <row r="10" spans="1:20" ht="16.2" customHeight="1" x14ac:dyDescent="0.2">
      <c r="A10" s="43"/>
      <c r="B10" s="7" t="s">
        <v>28</v>
      </c>
      <c r="C10" s="7"/>
      <c r="D10" s="7"/>
      <c r="E10" s="8" t="s">
        <v>20</v>
      </c>
      <c r="F10" s="9" t="s">
        <v>29</v>
      </c>
      <c r="G10" s="8">
        <f t="shared" si="0"/>
        <v>0.10714285714285714</v>
      </c>
      <c r="H10" s="10">
        <v>63</v>
      </c>
      <c r="I10" s="8">
        <v>6.75</v>
      </c>
      <c r="J10" s="11"/>
      <c r="K10" s="10" t="s">
        <v>53</v>
      </c>
      <c r="L10" s="12">
        <v>500</v>
      </c>
      <c r="M10" s="13">
        <f t="shared" si="1"/>
        <v>3375</v>
      </c>
      <c r="N10" s="14">
        <v>135</v>
      </c>
      <c r="O10" s="8">
        <v>23.97</v>
      </c>
      <c r="P10" s="17">
        <v>21.318000000000001</v>
      </c>
      <c r="Q10" s="13">
        <f>P10*N10</f>
        <v>2877.9300000000003</v>
      </c>
      <c r="R10" s="13">
        <v>500</v>
      </c>
      <c r="S10" s="13">
        <f>19.5*13.26</f>
        <v>258.57</v>
      </c>
      <c r="T10" s="68">
        <f>S10+R10+Q10+M8+M9+M10</f>
        <v>11421.5</v>
      </c>
    </row>
    <row r="11" spans="1:20" ht="16.2" customHeight="1" x14ac:dyDescent="0.2">
      <c r="A11" s="45"/>
      <c r="B11" s="46"/>
      <c r="C11" s="46"/>
      <c r="D11" s="46"/>
      <c r="E11" s="47"/>
      <c r="F11" s="48"/>
      <c r="G11" s="47"/>
      <c r="H11" s="49"/>
      <c r="I11" s="47"/>
      <c r="J11" s="50"/>
      <c r="K11" s="49"/>
      <c r="L11" s="51"/>
      <c r="M11" s="52"/>
      <c r="N11" s="53"/>
      <c r="O11" s="47"/>
      <c r="P11" s="69"/>
      <c r="Q11" s="53"/>
      <c r="R11" s="53"/>
      <c r="S11" s="53"/>
      <c r="T11" s="70"/>
    </row>
    <row r="12" spans="1:20" ht="16.2" customHeight="1" x14ac:dyDescent="0.2">
      <c r="A12" s="56"/>
      <c r="B12" s="57"/>
      <c r="C12" s="57"/>
      <c r="D12" s="57"/>
      <c r="E12" s="58"/>
      <c r="F12" s="59"/>
      <c r="G12" s="58"/>
      <c r="H12" s="60"/>
      <c r="I12" s="58"/>
      <c r="J12" s="61"/>
      <c r="K12" s="60"/>
      <c r="L12" s="62"/>
      <c r="M12" s="66"/>
      <c r="N12" s="64"/>
      <c r="O12" s="58"/>
      <c r="P12" s="65"/>
      <c r="Q12" s="66"/>
      <c r="R12" s="66"/>
      <c r="S12" s="66"/>
      <c r="T12" s="67"/>
    </row>
    <row r="13" spans="1:20" ht="16.2" customHeight="1" x14ac:dyDescent="0.2">
      <c r="A13" s="31">
        <v>3</v>
      </c>
      <c r="B13" s="32" t="s">
        <v>30</v>
      </c>
      <c r="C13" s="71" t="s">
        <v>11</v>
      </c>
      <c r="D13" s="72">
        <v>250000019054</v>
      </c>
      <c r="E13" s="34" t="s">
        <v>13</v>
      </c>
      <c r="F13" s="35" t="s">
        <v>31</v>
      </c>
      <c r="G13" s="34">
        <f t="shared" si="0"/>
        <v>0.71</v>
      </c>
      <c r="H13" s="36">
        <v>1</v>
      </c>
      <c r="I13" s="34">
        <v>0.71</v>
      </c>
      <c r="J13" s="37" t="s">
        <v>32</v>
      </c>
      <c r="K13" s="36" t="s">
        <v>54</v>
      </c>
      <c r="L13" s="38">
        <v>1150</v>
      </c>
      <c r="M13" s="39">
        <f t="shared" si="1"/>
        <v>816.5</v>
      </c>
      <c r="N13" s="40"/>
      <c r="O13" s="34"/>
      <c r="P13" s="41"/>
      <c r="Q13" s="39"/>
      <c r="R13" s="39"/>
      <c r="S13" s="39"/>
      <c r="T13" s="42"/>
    </row>
    <row r="14" spans="1:20" ht="16.2" customHeight="1" x14ac:dyDescent="0.2">
      <c r="A14" s="43"/>
      <c r="B14" s="16" t="s">
        <v>33</v>
      </c>
      <c r="C14" s="18" t="s">
        <v>11</v>
      </c>
      <c r="D14" s="19">
        <v>250000019053</v>
      </c>
      <c r="E14" s="8" t="s">
        <v>13</v>
      </c>
      <c r="F14" s="9" t="s">
        <v>31</v>
      </c>
      <c r="G14" s="8">
        <f t="shared" si="0"/>
        <v>0.71</v>
      </c>
      <c r="H14" s="10">
        <v>1</v>
      </c>
      <c r="I14" s="8">
        <v>0.71</v>
      </c>
      <c r="J14" s="11" t="s">
        <v>34</v>
      </c>
      <c r="K14" s="10" t="s">
        <v>54</v>
      </c>
      <c r="L14" s="12">
        <v>1175</v>
      </c>
      <c r="M14" s="13">
        <f t="shared" si="1"/>
        <v>834.25</v>
      </c>
      <c r="N14" s="14"/>
      <c r="O14" s="8"/>
      <c r="P14" s="15"/>
      <c r="Q14" s="13"/>
      <c r="R14" s="13"/>
      <c r="S14" s="13"/>
      <c r="T14" s="44"/>
    </row>
    <row r="15" spans="1:20" ht="16.2" customHeight="1" x14ac:dyDescent="0.2">
      <c r="A15" s="43"/>
      <c r="B15" s="7" t="s">
        <v>35</v>
      </c>
      <c r="C15" s="20" t="s">
        <v>11</v>
      </c>
      <c r="D15" s="7" t="s">
        <v>36</v>
      </c>
      <c r="E15" s="8" t="s">
        <v>13</v>
      </c>
      <c r="F15" s="9" t="s">
        <v>18</v>
      </c>
      <c r="G15" s="8">
        <f t="shared" si="0"/>
        <v>0.24083333333333334</v>
      </c>
      <c r="H15" s="10">
        <v>12</v>
      </c>
      <c r="I15" s="8">
        <v>2.89</v>
      </c>
      <c r="J15" s="11" t="s">
        <v>15</v>
      </c>
      <c r="K15" s="10" t="s">
        <v>55</v>
      </c>
      <c r="L15" s="12">
        <v>750</v>
      </c>
      <c r="M15" s="13">
        <f t="shared" si="1"/>
        <v>2167.5</v>
      </c>
      <c r="N15" s="14"/>
      <c r="O15" s="8"/>
      <c r="P15" s="15"/>
      <c r="Q15" s="13"/>
      <c r="R15" s="13"/>
      <c r="S15" s="13"/>
      <c r="T15" s="44"/>
    </row>
    <row r="16" spans="1:20" ht="16.2" customHeight="1" x14ac:dyDescent="0.2">
      <c r="A16" s="43"/>
      <c r="B16" s="7"/>
      <c r="C16" s="7"/>
      <c r="D16" s="7"/>
      <c r="E16" s="8" t="s">
        <v>13</v>
      </c>
      <c r="F16" s="9" t="s">
        <v>37</v>
      </c>
      <c r="G16" s="8">
        <f t="shared" si="0"/>
        <v>0.18735294117647058</v>
      </c>
      <c r="H16" s="10">
        <v>34</v>
      </c>
      <c r="I16" s="8">
        <v>6.37</v>
      </c>
      <c r="J16" s="11"/>
      <c r="K16" s="10" t="s">
        <v>51</v>
      </c>
      <c r="L16" s="12">
        <v>700</v>
      </c>
      <c r="M16" s="13">
        <f t="shared" si="1"/>
        <v>4459</v>
      </c>
      <c r="N16" s="14"/>
      <c r="O16" s="8"/>
      <c r="P16" s="15"/>
      <c r="Q16" s="13"/>
      <c r="R16" s="13"/>
      <c r="S16" s="13"/>
      <c r="T16" s="44"/>
    </row>
    <row r="17" spans="1:20" ht="16.2" customHeight="1" x14ac:dyDescent="0.2">
      <c r="A17" s="43"/>
      <c r="B17" s="7"/>
      <c r="C17" s="7"/>
      <c r="D17" s="7"/>
      <c r="E17" s="8" t="s">
        <v>13</v>
      </c>
      <c r="F17" s="9" t="s">
        <v>38</v>
      </c>
      <c r="G17" s="8">
        <f t="shared" si="0"/>
        <v>0.13833333333333334</v>
      </c>
      <c r="H17" s="10">
        <v>42</v>
      </c>
      <c r="I17" s="8">
        <v>5.81</v>
      </c>
      <c r="J17" s="11"/>
      <c r="K17" s="10" t="s">
        <v>56</v>
      </c>
      <c r="L17" s="12">
        <v>700</v>
      </c>
      <c r="M17" s="13">
        <f t="shared" si="1"/>
        <v>4066.9999999999995</v>
      </c>
      <c r="N17" s="14"/>
      <c r="O17" s="8"/>
      <c r="P17" s="15"/>
      <c r="Q17" s="13"/>
      <c r="R17" s="13"/>
      <c r="S17" s="13"/>
      <c r="T17" s="44"/>
    </row>
    <row r="18" spans="1:20" ht="16.2" customHeight="1" x14ac:dyDescent="0.2">
      <c r="A18" s="45"/>
      <c r="B18" s="46"/>
      <c r="C18" s="46"/>
      <c r="D18" s="46"/>
      <c r="E18" s="47" t="s">
        <v>13</v>
      </c>
      <c r="F18" s="48" t="s">
        <v>39</v>
      </c>
      <c r="G18" s="47">
        <f t="shared" si="0"/>
        <v>8.8627450980392153E-2</v>
      </c>
      <c r="H18" s="49">
        <v>102</v>
      </c>
      <c r="I18" s="47">
        <v>9.0399999999999991</v>
      </c>
      <c r="J18" s="50"/>
      <c r="K18" s="49" t="s">
        <v>57</v>
      </c>
      <c r="L18" s="51">
        <v>525</v>
      </c>
      <c r="M18" s="52">
        <f t="shared" si="1"/>
        <v>4746</v>
      </c>
      <c r="N18" s="53">
        <v>135</v>
      </c>
      <c r="O18" s="47">
        <v>31.26</v>
      </c>
      <c r="P18" s="54">
        <v>26.154</v>
      </c>
      <c r="Q18" s="52">
        <f>P18*N18</f>
        <v>3530.79</v>
      </c>
      <c r="R18" s="52">
        <v>650</v>
      </c>
      <c r="S18" s="52">
        <f>19.5*25.53</f>
        <v>497.83500000000004</v>
      </c>
      <c r="T18" s="55">
        <f>S18+R18+Q18+M13+M14+M15+M16+M17+M18</f>
        <v>21768.875</v>
      </c>
    </row>
    <row r="19" spans="1:20" ht="16.2" customHeight="1" x14ac:dyDescent="0.2">
      <c r="A19" s="56"/>
      <c r="B19" s="57"/>
      <c r="C19" s="57"/>
      <c r="D19" s="57"/>
      <c r="E19" s="58"/>
      <c r="F19" s="59"/>
      <c r="G19" s="58"/>
      <c r="H19" s="60"/>
      <c r="I19" s="58"/>
      <c r="J19" s="61"/>
      <c r="K19" s="60"/>
      <c r="L19" s="62"/>
      <c r="M19" s="63"/>
      <c r="N19" s="64"/>
      <c r="O19" s="58"/>
      <c r="P19" s="65"/>
      <c r="Q19" s="66"/>
      <c r="R19" s="66"/>
      <c r="S19" s="66"/>
      <c r="T19" s="67"/>
    </row>
    <row r="20" spans="1:20" ht="16.2" customHeight="1" x14ac:dyDescent="0.2">
      <c r="A20" s="31">
        <v>4</v>
      </c>
      <c r="B20" s="32" t="s">
        <v>58</v>
      </c>
      <c r="C20" s="73" t="s">
        <v>59</v>
      </c>
      <c r="D20" s="32" t="s">
        <v>60</v>
      </c>
      <c r="E20" s="34" t="s">
        <v>20</v>
      </c>
      <c r="F20" s="35" t="s">
        <v>22</v>
      </c>
      <c r="G20" s="34">
        <f t="shared" si="0"/>
        <v>2.5384615384615387E-2</v>
      </c>
      <c r="H20" s="36">
        <v>13</v>
      </c>
      <c r="I20" s="34">
        <v>0.33</v>
      </c>
      <c r="J20" s="37" t="s">
        <v>61</v>
      </c>
      <c r="K20" s="36" t="s">
        <v>52</v>
      </c>
      <c r="L20" s="38">
        <v>450</v>
      </c>
      <c r="M20" s="39">
        <f t="shared" si="1"/>
        <v>148.5</v>
      </c>
      <c r="N20" s="40"/>
      <c r="O20" s="34"/>
      <c r="P20" s="41"/>
      <c r="Q20" s="39"/>
      <c r="R20" s="39"/>
      <c r="S20" s="39"/>
      <c r="T20" s="42"/>
    </row>
    <row r="21" spans="1:20" ht="16.2" customHeight="1" x14ac:dyDescent="0.2">
      <c r="A21" s="43"/>
      <c r="B21" s="7"/>
      <c r="C21" s="7"/>
      <c r="D21" s="7"/>
      <c r="E21" s="8" t="s">
        <v>20</v>
      </c>
      <c r="F21" s="9" t="s">
        <v>62</v>
      </c>
      <c r="G21" s="8">
        <f t="shared" si="0"/>
        <v>3.0689655172413795E-2</v>
      </c>
      <c r="H21" s="10">
        <v>58</v>
      </c>
      <c r="I21" s="8">
        <v>1.78</v>
      </c>
      <c r="J21" s="11" t="s">
        <v>61</v>
      </c>
      <c r="K21" s="10" t="s">
        <v>52</v>
      </c>
      <c r="L21" s="12">
        <v>450</v>
      </c>
      <c r="M21" s="13">
        <f t="shared" si="1"/>
        <v>801</v>
      </c>
      <c r="N21" s="14"/>
      <c r="O21" s="8"/>
      <c r="P21" s="15"/>
      <c r="Q21" s="13"/>
      <c r="R21" s="13"/>
      <c r="S21" s="13"/>
      <c r="T21" s="44"/>
    </row>
    <row r="22" spans="1:20" ht="16.2" customHeight="1" x14ac:dyDescent="0.2">
      <c r="A22" s="43"/>
      <c r="B22" s="7"/>
      <c r="C22" s="7"/>
      <c r="D22" s="7"/>
      <c r="E22" s="8" t="s">
        <v>20</v>
      </c>
      <c r="F22" s="9" t="s">
        <v>63</v>
      </c>
      <c r="G22" s="8">
        <f t="shared" si="0"/>
        <v>5.0567375886524824E-2</v>
      </c>
      <c r="H22" s="10">
        <v>141</v>
      </c>
      <c r="I22" s="8">
        <v>7.13</v>
      </c>
      <c r="J22" s="11" t="s">
        <v>61</v>
      </c>
      <c r="K22" s="10" t="s">
        <v>74</v>
      </c>
      <c r="L22" s="12">
        <v>450</v>
      </c>
      <c r="M22" s="13">
        <f t="shared" si="1"/>
        <v>3208.5</v>
      </c>
      <c r="N22" s="14"/>
      <c r="O22" s="8"/>
      <c r="P22" s="15"/>
      <c r="Q22" s="13"/>
      <c r="R22" s="13"/>
      <c r="S22" s="13"/>
      <c r="T22" s="44"/>
    </row>
    <row r="23" spans="1:20" ht="16.2" customHeight="1" x14ac:dyDescent="0.2">
      <c r="A23" s="43"/>
      <c r="B23" s="7" t="s">
        <v>64</v>
      </c>
      <c r="C23" s="7"/>
      <c r="D23" s="7"/>
      <c r="E23" s="8" t="s">
        <v>20</v>
      </c>
      <c r="F23" s="9" t="s">
        <v>27</v>
      </c>
      <c r="G23" s="8">
        <f t="shared" si="0"/>
        <v>8.3703703703703697E-2</v>
      </c>
      <c r="H23" s="10">
        <v>54</v>
      </c>
      <c r="I23" s="8">
        <v>4.5199999999999996</v>
      </c>
      <c r="J23" s="11" t="s">
        <v>61</v>
      </c>
      <c r="K23" s="10" t="s">
        <v>75</v>
      </c>
      <c r="L23" s="12">
        <v>525</v>
      </c>
      <c r="M23" s="13">
        <f t="shared" si="1"/>
        <v>2373</v>
      </c>
      <c r="N23" s="14"/>
      <c r="O23" s="8"/>
      <c r="P23" s="15"/>
      <c r="Q23" s="13"/>
      <c r="R23" s="13"/>
      <c r="S23" s="13"/>
      <c r="T23" s="44"/>
    </row>
    <row r="24" spans="1:20" ht="16.2" customHeight="1" x14ac:dyDescent="0.2">
      <c r="A24" s="43"/>
      <c r="B24" s="7"/>
      <c r="C24" s="7"/>
      <c r="D24" s="7"/>
      <c r="E24" s="8" t="s">
        <v>20</v>
      </c>
      <c r="F24" s="9" t="s">
        <v>65</v>
      </c>
      <c r="G24" s="8">
        <f t="shared" si="0"/>
        <v>0.104375</v>
      </c>
      <c r="H24" s="10">
        <v>16</v>
      </c>
      <c r="I24" s="8">
        <v>1.67</v>
      </c>
      <c r="J24" s="11" t="s">
        <v>61</v>
      </c>
      <c r="K24" s="10" t="s">
        <v>75</v>
      </c>
      <c r="L24" s="12">
        <v>525</v>
      </c>
      <c r="M24" s="13">
        <f t="shared" si="1"/>
        <v>876.75</v>
      </c>
      <c r="N24" s="14"/>
      <c r="O24" s="8"/>
      <c r="P24" s="15"/>
      <c r="Q24" s="13"/>
      <c r="R24" s="13"/>
      <c r="S24" s="13"/>
      <c r="T24" s="44"/>
    </row>
    <row r="25" spans="1:20" ht="16.2" customHeight="1" x14ac:dyDescent="0.2">
      <c r="A25" s="43"/>
      <c r="B25" s="7"/>
      <c r="C25" s="7"/>
      <c r="D25" s="7"/>
      <c r="E25" s="8" t="s">
        <v>20</v>
      </c>
      <c r="F25" s="9" t="s">
        <v>66</v>
      </c>
      <c r="G25" s="8">
        <f t="shared" si="0"/>
        <v>1.5263157894736841E-2</v>
      </c>
      <c r="H25" s="10">
        <v>19</v>
      </c>
      <c r="I25" s="8">
        <v>0.28999999999999998</v>
      </c>
      <c r="J25" s="11" t="s">
        <v>67</v>
      </c>
      <c r="K25" s="10" t="s">
        <v>53</v>
      </c>
      <c r="L25" s="12">
        <v>600</v>
      </c>
      <c r="M25" s="13">
        <f t="shared" si="1"/>
        <v>174</v>
      </c>
      <c r="N25" s="14"/>
      <c r="O25" s="8"/>
      <c r="P25" s="15"/>
      <c r="Q25" s="13"/>
      <c r="R25" s="13"/>
      <c r="S25" s="13"/>
      <c r="T25" s="44"/>
    </row>
    <row r="26" spans="1:20" ht="16.2" customHeight="1" x14ac:dyDescent="0.2">
      <c r="A26" s="43"/>
      <c r="B26" s="7"/>
      <c r="C26" s="7"/>
      <c r="D26" s="7"/>
      <c r="E26" s="8" t="s">
        <v>20</v>
      </c>
      <c r="F26" s="9" t="s">
        <v>68</v>
      </c>
      <c r="G26" s="8">
        <f t="shared" si="0"/>
        <v>3.5272727272727275E-2</v>
      </c>
      <c r="H26" s="10">
        <v>55</v>
      </c>
      <c r="I26" s="8">
        <v>1.94</v>
      </c>
      <c r="J26" s="11" t="s">
        <v>67</v>
      </c>
      <c r="K26" s="10" t="s">
        <v>53</v>
      </c>
      <c r="L26" s="12">
        <v>600</v>
      </c>
      <c r="M26" s="13">
        <f t="shared" si="1"/>
        <v>1164</v>
      </c>
      <c r="N26" s="14"/>
      <c r="O26" s="8"/>
      <c r="P26" s="15"/>
      <c r="Q26" s="13"/>
      <c r="R26" s="13"/>
      <c r="S26" s="13"/>
      <c r="T26" s="44"/>
    </row>
    <row r="27" spans="1:20" ht="16.2" customHeight="1" x14ac:dyDescent="0.2">
      <c r="A27" s="43"/>
      <c r="B27" s="21" t="s">
        <v>69</v>
      </c>
      <c r="C27" s="7"/>
      <c r="D27" s="7"/>
      <c r="E27" s="8" t="s">
        <v>20</v>
      </c>
      <c r="F27" s="9" t="s">
        <v>63</v>
      </c>
      <c r="G27" s="8">
        <f t="shared" si="0"/>
        <v>5.2307692307692305E-2</v>
      </c>
      <c r="H27" s="10">
        <v>65</v>
      </c>
      <c r="I27" s="8">
        <v>3.4</v>
      </c>
      <c r="J27" s="11" t="s">
        <v>67</v>
      </c>
      <c r="K27" s="10" t="s">
        <v>53</v>
      </c>
      <c r="L27" s="12">
        <v>600</v>
      </c>
      <c r="M27" s="13">
        <f t="shared" si="1"/>
        <v>2040</v>
      </c>
      <c r="N27" s="14"/>
      <c r="O27" s="8"/>
      <c r="P27" s="15"/>
      <c r="Q27" s="13"/>
      <c r="R27" s="13"/>
      <c r="S27" s="13"/>
      <c r="T27" s="44"/>
    </row>
    <row r="28" spans="1:20" ht="16.2" customHeight="1" x14ac:dyDescent="0.2">
      <c r="A28" s="43"/>
      <c r="B28" s="7"/>
      <c r="C28" s="7"/>
      <c r="D28" s="7"/>
      <c r="E28" s="8" t="s">
        <v>20</v>
      </c>
      <c r="F28" s="9" t="s">
        <v>70</v>
      </c>
      <c r="G28" s="8">
        <f t="shared" si="0"/>
        <v>7.1999999999999995E-2</v>
      </c>
      <c r="H28" s="10">
        <v>5</v>
      </c>
      <c r="I28" s="8">
        <v>0.36</v>
      </c>
      <c r="J28" s="11" t="s">
        <v>61</v>
      </c>
      <c r="K28" s="10" t="s">
        <v>74</v>
      </c>
      <c r="L28" s="12">
        <v>450</v>
      </c>
      <c r="M28" s="13">
        <f t="shared" si="1"/>
        <v>162</v>
      </c>
      <c r="N28" s="14"/>
      <c r="O28" s="8"/>
      <c r="P28" s="15"/>
      <c r="Q28" s="13"/>
      <c r="R28" s="13"/>
      <c r="S28" s="13"/>
      <c r="T28" s="44"/>
    </row>
    <row r="29" spans="1:20" ht="16.2" customHeight="1" x14ac:dyDescent="0.2">
      <c r="A29" s="43"/>
      <c r="B29" s="7"/>
      <c r="C29" s="7"/>
      <c r="D29" s="7"/>
      <c r="E29" s="8" t="s">
        <v>20</v>
      </c>
      <c r="F29" s="9" t="s">
        <v>27</v>
      </c>
      <c r="G29" s="8">
        <f t="shared" si="0"/>
        <v>8.424242424242423E-2</v>
      </c>
      <c r="H29" s="10">
        <v>33</v>
      </c>
      <c r="I29" s="8">
        <v>2.78</v>
      </c>
      <c r="J29" s="11" t="s">
        <v>61</v>
      </c>
      <c r="K29" s="10" t="s">
        <v>75</v>
      </c>
      <c r="L29" s="12">
        <v>525</v>
      </c>
      <c r="M29" s="13">
        <f t="shared" si="1"/>
        <v>1459.5</v>
      </c>
      <c r="N29" s="14"/>
      <c r="O29" s="8"/>
      <c r="P29" s="15"/>
      <c r="Q29" s="13"/>
      <c r="R29" s="13"/>
      <c r="S29" s="13"/>
      <c r="T29" s="44"/>
    </row>
    <row r="30" spans="1:20" ht="16.2" customHeight="1" x14ac:dyDescent="0.2">
      <c r="A30" s="43"/>
      <c r="B30" s="7" t="s">
        <v>71</v>
      </c>
      <c r="C30" s="7"/>
      <c r="D30" s="7"/>
      <c r="E30" s="8" t="s">
        <v>20</v>
      </c>
      <c r="F30" s="9" t="s">
        <v>72</v>
      </c>
      <c r="G30" s="8">
        <f t="shared" si="0"/>
        <v>2.7142857142857142E-3</v>
      </c>
      <c r="H30" s="10">
        <v>70</v>
      </c>
      <c r="I30" s="8">
        <v>0.19</v>
      </c>
      <c r="J30" s="11" t="s">
        <v>61</v>
      </c>
      <c r="K30" s="10" t="s">
        <v>76</v>
      </c>
      <c r="L30" s="12">
        <v>400</v>
      </c>
      <c r="M30" s="13">
        <f t="shared" si="1"/>
        <v>76</v>
      </c>
      <c r="N30" s="14">
        <v>135</v>
      </c>
      <c r="O30" s="8">
        <v>51.23</v>
      </c>
      <c r="P30" s="17">
        <v>46.351999999999997</v>
      </c>
      <c r="Q30" s="13">
        <f>P30*N30</f>
        <v>6257.5199999999995</v>
      </c>
      <c r="R30" s="13">
        <v>825</v>
      </c>
      <c r="S30" s="13">
        <v>365.85</v>
      </c>
      <c r="T30" s="68">
        <f>S30+R30+Q30+M20+M21+M22+M23+M24+M25+M26+M27+M28+M29+M30</f>
        <v>19931.62</v>
      </c>
    </row>
    <row r="31" spans="1:20" ht="16.2" customHeight="1" x14ac:dyDescent="0.2">
      <c r="A31" s="45"/>
      <c r="B31" s="74" t="s">
        <v>73</v>
      </c>
      <c r="C31" s="46"/>
      <c r="D31" s="46"/>
      <c r="E31" s="47"/>
      <c r="F31" s="48"/>
      <c r="G31" s="47"/>
      <c r="H31" s="49"/>
      <c r="I31" s="47"/>
      <c r="J31" s="75"/>
      <c r="K31" s="49"/>
      <c r="L31" s="51"/>
      <c r="M31" s="53"/>
      <c r="N31" s="53"/>
      <c r="O31" s="47"/>
      <c r="P31" s="69"/>
      <c r="Q31" s="52"/>
      <c r="R31" s="52"/>
      <c r="S31" s="52"/>
      <c r="T31" s="76"/>
    </row>
    <row r="32" spans="1:20" ht="16.2" customHeight="1" x14ac:dyDescent="0.2">
      <c r="A32" s="88"/>
      <c r="B32" s="89"/>
      <c r="C32" s="89"/>
      <c r="D32" s="89"/>
      <c r="E32" s="90"/>
      <c r="F32" s="91"/>
      <c r="G32" s="90"/>
      <c r="H32" s="92"/>
      <c r="I32" s="90"/>
      <c r="J32" s="93"/>
      <c r="K32" s="92"/>
      <c r="L32" s="94"/>
      <c r="M32" s="95"/>
      <c r="N32" s="96"/>
      <c r="O32" s="90"/>
      <c r="P32" s="97"/>
      <c r="Q32" s="96"/>
      <c r="R32" s="96"/>
      <c r="S32" s="96"/>
      <c r="T32" s="98"/>
    </row>
    <row r="33" spans="1:20" ht="16.2" customHeight="1" x14ac:dyDescent="0.2">
      <c r="A33" s="99">
        <v>5</v>
      </c>
      <c r="B33" s="100" t="s">
        <v>80</v>
      </c>
      <c r="C33" s="101" t="s">
        <v>11</v>
      </c>
      <c r="D33" s="102" t="s">
        <v>81</v>
      </c>
      <c r="E33" s="103" t="s">
        <v>97</v>
      </c>
      <c r="F33" s="104" t="s">
        <v>14</v>
      </c>
      <c r="G33" s="34">
        <f t="shared" ref="G33:G41" si="2">I33/H33</f>
        <v>0.5116666666666666</v>
      </c>
      <c r="H33" s="105">
        <v>6</v>
      </c>
      <c r="I33" s="103">
        <v>3.07</v>
      </c>
      <c r="J33" s="125" t="s">
        <v>82</v>
      </c>
      <c r="K33" s="105" t="s">
        <v>91</v>
      </c>
      <c r="L33" s="122">
        <v>1275</v>
      </c>
      <c r="M33" s="39">
        <f t="shared" ref="M33:M41" si="3">L33*I33</f>
        <v>3914.25</v>
      </c>
      <c r="N33" s="106"/>
      <c r="O33" s="103"/>
      <c r="P33" s="107"/>
      <c r="Q33" s="108"/>
      <c r="R33" s="108"/>
      <c r="S33" s="108"/>
      <c r="T33" s="109"/>
    </row>
    <row r="34" spans="1:20" ht="16.2" customHeight="1" x14ac:dyDescent="0.2">
      <c r="A34" s="110"/>
      <c r="B34" s="121" t="s">
        <v>83</v>
      </c>
      <c r="C34" s="79" t="s">
        <v>84</v>
      </c>
      <c r="D34" s="78"/>
      <c r="E34" s="80" t="s">
        <v>97</v>
      </c>
      <c r="F34" s="81" t="s">
        <v>85</v>
      </c>
      <c r="G34" s="8">
        <f t="shared" si="2"/>
        <v>0.38</v>
      </c>
      <c r="H34" s="82">
        <v>1</v>
      </c>
      <c r="I34" s="80">
        <v>0.38</v>
      </c>
      <c r="J34" s="83"/>
      <c r="K34" s="82" t="s">
        <v>92</v>
      </c>
      <c r="L34" s="123">
        <v>975</v>
      </c>
      <c r="M34" s="13">
        <f t="shared" si="3"/>
        <v>370.5</v>
      </c>
      <c r="N34" s="84"/>
      <c r="O34" s="80"/>
      <c r="P34" s="85"/>
      <c r="Q34" s="86"/>
      <c r="R34" s="86"/>
      <c r="S34" s="86"/>
      <c r="T34" s="111"/>
    </row>
    <row r="35" spans="1:20" ht="16.2" customHeight="1" x14ac:dyDescent="0.2">
      <c r="A35" s="110"/>
      <c r="B35" s="78" t="s">
        <v>86</v>
      </c>
      <c r="C35" s="78"/>
      <c r="D35" s="78"/>
      <c r="E35" s="80" t="s">
        <v>97</v>
      </c>
      <c r="F35" s="81" t="s">
        <v>87</v>
      </c>
      <c r="G35" s="8">
        <f t="shared" si="2"/>
        <v>0.31111111111111112</v>
      </c>
      <c r="H35" s="82">
        <v>9</v>
      </c>
      <c r="I35" s="80">
        <v>2.8</v>
      </c>
      <c r="J35" s="83"/>
      <c r="K35" s="82" t="s">
        <v>50</v>
      </c>
      <c r="L35" s="123">
        <v>925</v>
      </c>
      <c r="M35" s="13">
        <f t="shared" si="3"/>
        <v>2590</v>
      </c>
      <c r="N35" s="84"/>
      <c r="O35" s="80"/>
      <c r="P35" s="85"/>
      <c r="Q35" s="86"/>
      <c r="R35" s="86"/>
      <c r="S35" s="86"/>
      <c r="T35" s="111"/>
    </row>
    <row r="36" spans="1:20" ht="16.2" customHeight="1" x14ac:dyDescent="0.2">
      <c r="A36" s="110"/>
      <c r="B36" s="78"/>
      <c r="C36" s="78"/>
      <c r="D36" s="78"/>
      <c r="E36" s="80" t="s">
        <v>97</v>
      </c>
      <c r="F36" s="81" t="s">
        <v>18</v>
      </c>
      <c r="G36" s="8">
        <f t="shared" si="2"/>
        <v>0.24</v>
      </c>
      <c r="H36" s="82">
        <v>5</v>
      </c>
      <c r="I36" s="80">
        <v>1.2</v>
      </c>
      <c r="J36" s="83"/>
      <c r="K36" s="82" t="s">
        <v>93</v>
      </c>
      <c r="L36" s="123">
        <v>750</v>
      </c>
      <c r="M36" s="13">
        <f t="shared" si="3"/>
        <v>900</v>
      </c>
      <c r="N36" s="84"/>
      <c r="O36" s="80"/>
      <c r="P36" s="85"/>
      <c r="Q36" s="86"/>
      <c r="R36" s="86"/>
      <c r="S36" s="86"/>
      <c r="T36" s="111"/>
    </row>
    <row r="37" spans="1:20" ht="16.2" customHeight="1" x14ac:dyDescent="0.2">
      <c r="A37" s="110"/>
      <c r="B37" s="78"/>
      <c r="C37" s="78"/>
      <c r="D37" s="78"/>
      <c r="E37" s="80" t="s">
        <v>97</v>
      </c>
      <c r="F37" s="81" t="s">
        <v>37</v>
      </c>
      <c r="G37" s="8">
        <f t="shared" si="2"/>
        <v>0.19791666666666666</v>
      </c>
      <c r="H37" s="82">
        <v>24</v>
      </c>
      <c r="I37" s="80">
        <v>4.75</v>
      </c>
      <c r="J37" s="83"/>
      <c r="K37" s="82" t="s">
        <v>51</v>
      </c>
      <c r="L37" s="123">
        <v>700</v>
      </c>
      <c r="M37" s="13">
        <f t="shared" si="3"/>
        <v>3325</v>
      </c>
      <c r="N37" s="84"/>
      <c r="O37" s="80"/>
      <c r="P37" s="85"/>
      <c r="Q37" s="86"/>
      <c r="R37" s="86"/>
      <c r="S37" s="86"/>
      <c r="T37" s="111"/>
    </row>
    <row r="38" spans="1:20" ht="16.2" customHeight="1" x14ac:dyDescent="0.2">
      <c r="A38" s="110"/>
      <c r="B38" s="78"/>
      <c r="C38" s="78"/>
      <c r="D38" s="78"/>
      <c r="E38" s="80" t="s">
        <v>97</v>
      </c>
      <c r="F38" s="81" t="s">
        <v>38</v>
      </c>
      <c r="G38" s="8">
        <f t="shared" si="2"/>
        <v>0.13999999999999999</v>
      </c>
      <c r="H38" s="82">
        <v>3</v>
      </c>
      <c r="I38" s="80">
        <v>0.42</v>
      </c>
      <c r="J38" s="83"/>
      <c r="K38" s="82" t="s">
        <v>94</v>
      </c>
      <c r="L38" s="123">
        <v>650</v>
      </c>
      <c r="M38" s="13">
        <f t="shared" si="3"/>
        <v>273</v>
      </c>
      <c r="N38" s="84"/>
      <c r="O38" s="80"/>
      <c r="P38" s="85"/>
      <c r="Q38" s="86"/>
      <c r="R38" s="86"/>
      <c r="S38" s="86"/>
      <c r="T38" s="111"/>
    </row>
    <row r="39" spans="1:20" ht="16.2" customHeight="1" x14ac:dyDescent="0.2">
      <c r="A39" s="110"/>
      <c r="B39" s="78"/>
      <c r="C39" s="78"/>
      <c r="D39" s="78"/>
      <c r="E39" s="80" t="s">
        <v>97</v>
      </c>
      <c r="F39" s="81" t="s">
        <v>39</v>
      </c>
      <c r="G39" s="8">
        <f t="shared" si="2"/>
        <v>0.11077464788732394</v>
      </c>
      <c r="H39" s="82">
        <v>142</v>
      </c>
      <c r="I39" s="80">
        <v>15.73</v>
      </c>
      <c r="J39" s="83"/>
      <c r="K39" s="82" t="s">
        <v>95</v>
      </c>
      <c r="L39" s="123">
        <v>525</v>
      </c>
      <c r="M39" s="13">
        <f t="shared" si="3"/>
        <v>8258.25</v>
      </c>
      <c r="N39" s="84"/>
      <c r="O39" s="80"/>
      <c r="P39" s="87"/>
      <c r="Q39" s="86"/>
      <c r="R39" s="86"/>
      <c r="S39" s="86"/>
      <c r="T39" s="111"/>
    </row>
    <row r="40" spans="1:20" ht="16.2" customHeight="1" x14ac:dyDescent="0.2">
      <c r="A40" s="110"/>
      <c r="B40" s="78"/>
      <c r="C40" s="78"/>
      <c r="D40" s="78"/>
      <c r="E40" s="80" t="s">
        <v>97</v>
      </c>
      <c r="F40" s="81" t="s">
        <v>88</v>
      </c>
      <c r="G40" s="8">
        <f t="shared" si="2"/>
        <v>7.4999999999999997E-3</v>
      </c>
      <c r="H40" s="82">
        <v>8</v>
      </c>
      <c r="I40" s="80">
        <v>0.06</v>
      </c>
      <c r="J40" s="83"/>
      <c r="K40" s="82" t="s">
        <v>53</v>
      </c>
      <c r="L40" s="123">
        <v>450</v>
      </c>
      <c r="M40" s="13">
        <f t="shared" si="3"/>
        <v>27</v>
      </c>
      <c r="N40" s="84"/>
      <c r="O40" s="80"/>
      <c r="P40" s="85"/>
      <c r="Q40" s="86"/>
      <c r="R40" s="86"/>
      <c r="S40" s="86"/>
      <c r="T40" s="111"/>
    </row>
    <row r="41" spans="1:20" ht="16.2" customHeight="1" x14ac:dyDescent="0.2">
      <c r="A41" s="112"/>
      <c r="B41" s="113" t="s">
        <v>89</v>
      </c>
      <c r="C41" s="113"/>
      <c r="D41" s="113"/>
      <c r="E41" s="114" t="s">
        <v>97</v>
      </c>
      <c r="F41" s="115" t="s">
        <v>90</v>
      </c>
      <c r="G41" s="47">
        <f t="shared" si="2"/>
        <v>13.63</v>
      </c>
      <c r="H41" s="116">
        <v>1</v>
      </c>
      <c r="I41" s="114">
        <v>13.63</v>
      </c>
      <c r="J41" s="117"/>
      <c r="K41" s="116" t="s">
        <v>96</v>
      </c>
      <c r="L41" s="124">
        <v>450</v>
      </c>
      <c r="M41" s="52">
        <f t="shared" si="3"/>
        <v>6133.5</v>
      </c>
      <c r="N41" s="118">
        <v>135</v>
      </c>
      <c r="O41" s="114">
        <v>51.69</v>
      </c>
      <c r="P41" s="119">
        <v>43.281999999999996</v>
      </c>
      <c r="Q41" s="120">
        <f>Table1[[#This Row],[Net  Gm]]*Table1[[#This Row],[Gold/gm]]</f>
        <v>5843.07</v>
      </c>
      <c r="R41" s="120">
        <v>750</v>
      </c>
      <c r="S41" s="120">
        <f>19.5*28.41</f>
        <v>553.995</v>
      </c>
      <c r="T41" s="126">
        <f>Table1[[#This Row],[Cert]]+Table1[[#This Row],[Labour]]+Table1[[#This Row],[Gold Total]]+M33+M34+M35+M36+M37+M38+M39+M40+Table1[[#This Row],[Diam Total]]</f>
        <v>32938.565000000002</v>
      </c>
    </row>
    <row r="42" spans="1:20" ht="16.2" customHeight="1" x14ac:dyDescent="0.2">
      <c r="A42" s="56">
        <f>SUBTOTAL(103,Table1[Sr.])</f>
        <v>5</v>
      </c>
      <c r="B42" s="57"/>
      <c r="C42" s="57"/>
      <c r="D42" s="57"/>
      <c r="E42" s="60"/>
      <c r="F42" s="57"/>
      <c r="G42" s="60"/>
      <c r="H42" s="60">
        <f>SUBTOTAL(109,Table1[Pcs])</f>
        <v>1175</v>
      </c>
      <c r="I42" s="58">
        <f>SUBTOTAL(109,Table1[Cts])</f>
        <v>114.29</v>
      </c>
      <c r="J42" s="57"/>
      <c r="K42" s="60"/>
      <c r="L42" s="60"/>
      <c r="M42" s="66">
        <f>SUBTOTAL(109,Table1[Diam Total])</f>
        <v>69741.25</v>
      </c>
      <c r="N42" s="60"/>
      <c r="O42" s="58">
        <f>SUBTOTAL(109,Table1[Gross Gm])</f>
        <v>177.02</v>
      </c>
      <c r="P42" s="65">
        <f>SUBTOTAL(109,Table1[Net  Gm])</f>
        <v>154.16199999999998</v>
      </c>
      <c r="Q42" s="64">
        <f>SUBTOTAL(109,Table1[Gold Total])</f>
        <v>20811.87</v>
      </c>
      <c r="R42" s="64">
        <f>SUBTOTAL(109,Table1[Labour])</f>
        <v>3175</v>
      </c>
      <c r="S42" s="64">
        <f>SUBTOTAL(109,Table1[Cert])</f>
        <v>1853.1149999999998</v>
      </c>
      <c r="T42" s="77">
        <f>SUBTOTAL(109,Table1[Total Amt])</f>
        <v>95581.235000000001</v>
      </c>
    </row>
    <row r="43" spans="1:20" ht="16.2" customHeight="1" x14ac:dyDescent="0.2">
      <c r="A43" s="3"/>
      <c r="B43" s="3"/>
      <c r="C43" s="3"/>
      <c r="D43" s="1"/>
      <c r="F43" s="3"/>
      <c r="G43" s="3"/>
      <c r="H43" s="3"/>
      <c r="I43" s="3"/>
      <c r="J43" s="3"/>
      <c r="K43" s="3"/>
      <c r="L43" s="3"/>
      <c r="M43" s="3">
        <v>1</v>
      </c>
      <c r="N43" s="3"/>
      <c r="O43" s="4"/>
      <c r="P43" s="3"/>
      <c r="Q43" s="3">
        <v>2</v>
      </c>
      <c r="R43" s="3">
        <v>3</v>
      </c>
      <c r="S43" s="3">
        <v>4</v>
      </c>
      <c r="T43" s="3" t="s">
        <v>77</v>
      </c>
    </row>
    <row r="44" spans="1:20" ht="16.2" customHeight="1" x14ac:dyDescent="0.2">
      <c r="A44" s="128" t="s">
        <v>79</v>
      </c>
      <c r="B44" s="129"/>
      <c r="C44" s="130"/>
    </row>
    <row r="45" spans="1:20" ht="16.05" customHeight="1" x14ac:dyDescent="0.2"/>
  </sheetData>
  <mergeCells count="2">
    <mergeCell ref="A1:T1"/>
    <mergeCell ref="A44:C44"/>
  </mergeCells>
  <hyperlinks>
    <hyperlink ref="C15" r:id="rId1" xr:uid="{4CA1260A-2539-4275-9F45-742B5B3B0497}"/>
    <hyperlink ref="C3" r:id="rId2" xr:uid="{E6040E34-9A7B-4174-89B6-16BE6AEFFA9B}"/>
    <hyperlink ref="C8" r:id="rId3" xr:uid="{372B4CBC-77D6-46A6-BAA5-851A3D167A11}"/>
    <hyperlink ref="C20" r:id="rId4" xr:uid="{E30F264F-D868-44F1-9303-635AEBBD3002}"/>
    <hyperlink ref="C34" r:id="rId5" xr:uid="{AC840B6A-6EA8-419B-BD62-42EFB38024C3}"/>
    <hyperlink ref="C33" r:id="rId6" xr:uid="{FF2EC432-7E8A-4F00-899A-689E3D7C3A0E}"/>
  </hyperlinks>
  <pageMargins left="0.70866141732283472" right="0.70866141732283472" top="0.55118110236220474" bottom="0.35433070866141736" header="0.31496062992125984" footer="0.31496062992125984"/>
  <pageSetup paperSize="9" scale="70" orientation="landscape" r:id="rId7"/>
  <ignoredErrors>
    <ignoredError sqref="G12:G31 Q12:T31 M12:M31 M3:M10 Q3:T10 G3:G10 G33:G41 M33:M41" unlockedFormula="1"/>
  </ignoredErrors>
  <drawing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62FD0-4594-4C0A-9A44-D9CA3840531F}">
  <dimension ref="A1:T42"/>
  <sheetViews>
    <sheetView tabSelected="1" topLeftCell="A22" zoomScaleNormal="100" workbookViewId="0">
      <selection activeCell="M45" sqref="M44:M45"/>
    </sheetView>
  </sheetViews>
  <sheetFormatPr defaultRowHeight="16.05" customHeight="1" x14ac:dyDescent="0.3"/>
  <cols>
    <col min="1" max="1" width="4" style="136" customWidth="1"/>
    <col min="2" max="2" width="20.33203125" style="136" bestFit="1" customWidth="1"/>
    <col min="3" max="3" width="6" style="136" customWidth="1"/>
    <col min="4" max="4" width="12.6640625" style="136" customWidth="1"/>
    <col min="5" max="5" width="11" style="136" customWidth="1"/>
    <col min="6" max="6" width="8.88671875" style="136"/>
    <col min="7" max="7" width="7.33203125" style="136" customWidth="1"/>
    <col min="8" max="8" width="6.33203125" style="136" customWidth="1"/>
    <col min="9" max="9" width="8.109375" style="136" customWidth="1"/>
    <col min="10" max="10" width="10" style="136" customWidth="1"/>
    <col min="11" max="11" width="6.6640625" style="136" customWidth="1"/>
    <col min="12" max="12" width="8.88671875" style="136"/>
    <col min="13" max="13" width="11.44140625" style="136" customWidth="1"/>
    <col min="14" max="14" width="7.6640625" style="136" customWidth="1"/>
    <col min="15" max="15" width="7.21875" style="136" customWidth="1"/>
    <col min="16" max="16" width="7.44140625" style="136" customWidth="1"/>
    <col min="17" max="17" width="9.88671875" style="136" customWidth="1"/>
    <col min="18" max="19" width="9.109375" style="136" customWidth="1"/>
    <col min="20" max="20" width="10" style="136" customWidth="1"/>
    <col min="21" max="16384" width="8.88671875" style="136"/>
  </cols>
  <sheetData>
    <row r="1" spans="1:20" ht="16.05" customHeight="1" x14ac:dyDescent="0.3">
      <c r="A1" s="127" t="s">
        <v>78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0" ht="16.05" customHeight="1" x14ac:dyDescent="0.3">
      <c r="A2" s="165" t="s">
        <v>98</v>
      </c>
      <c r="B2" s="166" t="s">
        <v>1</v>
      </c>
      <c r="C2" s="167" t="s">
        <v>99</v>
      </c>
      <c r="D2" s="167" t="s">
        <v>100</v>
      </c>
      <c r="E2" s="166" t="s">
        <v>4</v>
      </c>
      <c r="F2" s="168" t="s">
        <v>101</v>
      </c>
      <c r="G2" s="169" t="s">
        <v>102</v>
      </c>
      <c r="H2" s="167" t="s">
        <v>103</v>
      </c>
      <c r="I2" s="167" t="s">
        <v>104</v>
      </c>
      <c r="J2" s="166" t="s">
        <v>105</v>
      </c>
      <c r="K2" s="167" t="s">
        <v>40</v>
      </c>
      <c r="L2" s="167" t="s">
        <v>106</v>
      </c>
      <c r="M2" s="170" t="s">
        <v>42</v>
      </c>
      <c r="N2" s="170" t="s">
        <v>43</v>
      </c>
      <c r="O2" s="171" t="s">
        <v>44</v>
      </c>
      <c r="P2" s="172" t="s">
        <v>107</v>
      </c>
      <c r="Q2" s="170" t="s">
        <v>46</v>
      </c>
      <c r="R2" s="170" t="s">
        <v>47</v>
      </c>
      <c r="S2" s="170" t="s">
        <v>108</v>
      </c>
      <c r="T2" s="173" t="s">
        <v>49</v>
      </c>
    </row>
    <row r="3" spans="1:20" ht="16.05" customHeight="1" x14ac:dyDescent="0.3">
      <c r="A3" s="174">
        <v>1</v>
      </c>
      <c r="B3" s="175" t="s">
        <v>109</v>
      </c>
      <c r="C3" s="101" t="s">
        <v>11</v>
      </c>
      <c r="D3" s="176" t="s">
        <v>110</v>
      </c>
      <c r="E3" s="175" t="s">
        <v>20</v>
      </c>
      <c r="F3" s="177" t="s">
        <v>111</v>
      </c>
      <c r="G3" s="178">
        <f>I3/H3</f>
        <v>1</v>
      </c>
      <c r="H3" s="176">
        <v>1</v>
      </c>
      <c r="I3" s="179">
        <v>1</v>
      </c>
      <c r="J3" s="180" t="s">
        <v>112</v>
      </c>
      <c r="K3" s="176" t="s">
        <v>118</v>
      </c>
      <c r="L3" s="252">
        <v>1550</v>
      </c>
      <c r="M3" s="181">
        <f>L3*I3</f>
        <v>1550</v>
      </c>
      <c r="N3" s="181"/>
      <c r="O3" s="179"/>
      <c r="P3" s="182"/>
      <c r="Q3" s="181"/>
      <c r="R3" s="181"/>
      <c r="S3" s="181"/>
      <c r="T3" s="183"/>
    </row>
    <row r="4" spans="1:20" ht="16.05" customHeight="1" x14ac:dyDescent="0.3">
      <c r="A4" s="184"/>
      <c r="B4" s="149"/>
      <c r="C4" s="150"/>
      <c r="D4" s="150"/>
      <c r="E4" s="149" t="s">
        <v>113</v>
      </c>
      <c r="F4" s="151" t="s">
        <v>114</v>
      </c>
      <c r="G4" s="152">
        <f>I4/H4</f>
        <v>0.13761904761904761</v>
      </c>
      <c r="H4" s="150">
        <v>21</v>
      </c>
      <c r="I4" s="150">
        <v>2.89</v>
      </c>
      <c r="J4" s="154" t="s">
        <v>115</v>
      </c>
      <c r="K4" s="150" t="s">
        <v>94</v>
      </c>
      <c r="L4" s="253">
        <v>675</v>
      </c>
      <c r="M4" s="155">
        <f>L4*I4</f>
        <v>1950.75</v>
      </c>
      <c r="N4" s="155"/>
      <c r="O4" s="153"/>
      <c r="P4" s="156"/>
      <c r="Q4" s="155"/>
      <c r="R4" s="155"/>
      <c r="S4" s="155"/>
      <c r="T4" s="185"/>
    </row>
    <row r="5" spans="1:20" ht="16.05" customHeight="1" x14ac:dyDescent="0.3">
      <c r="A5" s="186"/>
      <c r="B5" s="187" t="s">
        <v>116</v>
      </c>
      <c r="C5" s="188"/>
      <c r="D5" s="188"/>
      <c r="E5" s="189" t="s">
        <v>20</v>
      </c>
      <c r="F5" s="190" t="s">
        <v>117</v>
      </c>
      <c r="G5" s="191">
        <f>I5/H5</f>
        <v>3.9499999999999993E-2</v>
      </c>
      <c r="H5" s="188">
        <v>20</v>
      </c>
      <c r="I5" s="188">
        <v>0.78999999999999992</v>
      </c>
      <c r="J5" s="187" t="s">
        <v>115</v>
      </c>
      <c r="K5" s="188" t="s">
        <v>119</v>
      </c>
      <c r="L5" s="254">
        <v>475</v>
      </c>
      <c r="M5" s="192">
        <f>L5*I5</f>
        <v>375.24999999999994</v>
      </c>
      <c r="N5" s="192">
        <v>128</v>
      </c>
      <c r="O5" s="193">
        <v>7.57</v>
      </c>
      <c r="P5" s="194">
        <v>6.6340000000000003</v>
      </c>
      <c r="Q5" s="192">
        <f>P5*N5</f>
        <v>849.15200000000004</v>
      </c>
      <c r="R5" s="192">
        <v>200</v>
      </c>
      <c r="S5" s="192">
        <f>19.5*4.68</f>
        <v>91.259999999999991</v>
      </c>
      <c r="T5" s="257">
        <f>S5+R5+Q5+M3+M4+M5</f>
        <v>5016.4120000000003</v>
      </c>
    </row>
    <row r="6" spans="1:20" ht="16.05" customHeight="1" x14ac:dyDescent="0.3">
      <c r="A6" s="195"/>
      <c r="B6" s="196"/>
      <c r="C6" s="197"/>
      <c r="D6" s="197"/>
      <c r="E6" s="196"/>
      <c r="F6" s="196"/>
      <c r="G6" s="197"/>
      <c r="H6" s="197"/>
      <c r="I6" s="197"/>
      <c r="J6" s="198"/>
      <c r="K6" s="197"/>
      <c r="L6" s="255"/>
      <c r="M6" s="197"/>
      <c r="N6" s="197"/>
      <c r="O6" s="197"/>
      <c r="P6" s="197"/>
      <c r="Q6" s="197"/>
      <c r="R6" s="197"/>
      <c r="S6" s="197"/>
      <c r="T6" s="199"/>
    </row>
    <row r="7" spans="1:20" ht="16.05" customHeight="1" x14ac:dyDescent="0.3">
      <c r="A7" s="174">
        <v>2</v>
      </c>
      <c r="B7" s="175" t="s">
        <v>120</v>
      </c>
      <c r="C7" s="101" t="s">
        <v>11</v>
      </c>
      <c r="D7" s="176" t="s">
        <v>121</v>
      </c>
      <c r="E7" s="175" t="s">
        <v>122</v>
      </c>
      <c r="F7" s="177" t="s">
        <v>111</v>
      </c>
      <c r="G7" s="178">
        <f>I7/H7</f>
        <v>1.01</v>
      </c>
      <c r="H7" s="176">
        <v>1</v>
      </c>
      <c r="I7" s="176">
        <v>1.01</v>
      </c>
      <c r="J7" s="200" t="s">
        <v>25</v>
      </c>
      <c r="K7" s="176" t="s">
        <v>139</v>
      </c>
      <c r="L7" s="252">
        <v>1550</v>
      </c>
      <c r="M7" s="181">
        <f>L7*I7</f>
        <v>1565.5</v>
      </c>
      <c r="N7" s="181"/>
      <c r="O7" s="179"/>
      <c r="P7" s="182"/>
      <c r="Q7" s="181"/>
      <c r="R7" s="181"/>
      <c r="S7" s="181"/>
      <c r="T7" s="183"/>
    </row>
    <row r="8" spans="1:20" ht="16.05" customHeight="1" x14ac:dyDescent="0.3">
      <c r="A8" s="184"/>
      <c r="B8" s="149"/>
      <c r="C8" s="150"/>
      <c r="D8" s="150"/>
      <c r="E8" s="149" t="s">
        <v>122</v>
      </c>
      <c r="F8" s="151" t="s">
        <v>123</v>
      </c>
      <c r="G8" s="152">
        <f>I8/H8</f>
        <v>0.1275</v>
      </c>
      <c r="H8" s="150">
        <v>20</v>
      </c>
      <c r="I8" s="150">
        <v>2.5500000000000003</v>
      </c>
      <c r="J8" s="157" t="s">
        <v>25</v>
      </c>
      <c r="K8" s="150" t="s">
        <v>140</v>
      </c>
      <c r="L8" s="253">
        <v>500</v>
      </c>
      <c r="M8" s="155">
        <f>L8*I8</f>
        <v>1275.0000000000002</v>
      </c>
      <c r="N8" s="155"/>
      <c r="O8" s="153"/>
      <c r="P8" s="156"/>
      <c r="Q8" s="155"/>
      <c r="R8" s="155"/>
      <c r="S8" s="155"/>
      <c r="T8" s="185"/>
    </row>
    <row r="9" spans="1:20" ht="16.05" customHeight="1" x14ac:dyDescent="0.3">
      <c r="A9" s="186"/>
      <c r="B9" s="187" t="s">
        <v>124</v>
      </c>
      <c r="C9" s="188"/>
      <c r="D9" s="188"/>
      <c r="E9" s="189" t="s">
        <v>122</v>
      </c>
      <c r="F9" s="190" t="s">
        <v>117</v>
      </c>
      <c r="G9" s="191">
        <f>I9/H9</f>
        <v>3.8421052631578946E-2</v>
      </c>
      <c r="H9" s="188">
        <v>38</v>
      </c>
      <c r="I9" s="188">
        <v>1.46</v>
      </c>
      <c r="J9" s="201" t="s">
        <v>15</v>
      </c>
      <c r="K9" s="188" t="s">
        <v>119</v>
      </c>
      <c r="L9" s="254">
        <v>475</v>
      </c>
      <c r="M9" s="192">
        <f>L9*I9</f>
        <v>693.5</v>
      </c>
      <c r="N9" s="192">
        <v>128</v>
      </c>
      <c r="O9" s="193">
        <v>9.32</v>
      </c>
      <c r="P9" s="194">
        <v>8.3160000000000007</v>
      </c>
      <c r="Q9" s="192">
        <f>P9*N9</f>
        <v>1064.4480000000001</v>
      </c>
      <c r="R9" s="192">
        <v>200</v>
      </c>
      <c r="S9" s="192">
        <f>19.5*5.02</f>
        <v>97.889999999999986</v>
      </c>
      <c r="T9" s="257">
        <f>S9+R9+Q9+M7+M8+M9</f>
        <v>4896.3380000000006</v>
      </c>
    </row>
    <row r="10" spans="1:20" ht="16.05" customHeight="1" x14ac:dyDescent="0.3">
      <c r="A10" s="202"/>
      <c r="B10" s="203"/>
      <c r="C10" s="204"/>
      <c r="D10" s="204"/>
      <c r="E10" s="203"/>
      <c r="F10" s="205"/>
      <c r="G10" s="206"/>
      <c r="H10" s="204"/>
      <c r="I10" s="204"/>
      <c r="J10" s="207"/>
      <c r="K10" s="204"/>
      <c r="L10" s="256"/>
      <c r="M10" s="208"/>
      <c r="N10" s="208"/>
      <c r="O10" s="209"/>
      <c r="P10" s="210"/>
      <c r="Q10" s="208"/>
      <c r="R10" s="208"/>
      <c r="S10" s="208"/>
      <c r="T10" s="211"/>
    </row>
    <row r="11" spans="1:20" ht="16.05" customHeight="1" x14ac:dyDescent="0.3">
      <c r="A11" s="212">
        <v>3</v>
      </c>
      <c r="B11" s="213" t="s">
        <v>125</v>
      </c>
      <c r="C11" s="101" t="s">
        <v>11</v>
      </c>
      <c r="D11" s="175" t="s">
        <v>126</v>
      </c>
      <c r="E11" s="213" t="s">
        <v>122</v>
      </c>
      <c r="F11" s="214" t="s">
        <v>111</v>
      </c>
      <c r="G11" s="178">
        <f>I11/H11</f>
        <v>1</v>
      </c>
      <c r="H11" s="215">
        <v>1</v>
      </c>
      <c r="I11" s="179">
        <v>1</v>
      </c>
      <c r="J11" s="216" t="s">
        <v>127</v>
      </c>
      <c r="K11" s="215" t="s">
        <v>141</v>
      </c>
      <c r="L11" s="252">
        <v>1550</v>
      </c>
      <c r="M11" s="181">
        <f>L11*I11</f>
        <v>1550</v>
      </c>
      <c r="N11" s="217"/>
      <c r="O11" s="218"/>
      <c r="P11" s="219"/>
      <c r="Q11" s="217"/>
      <c r="R11" s="217"/>
      <c r="S11" s="217"/>
      <c r="T11" s="183"/>
    </row>
    <row r="12" spans="1:20" ht="16.05" customHeight="1" x14ac:dyDescent="0.3">
      <c r="A12" s="220"/>
      <c r="B12" s="221" t="s">
        <v>128</v>
      </c>
      <c r="C12" s="222"/>
      <c r="D12" s="189"/>
      <c r="E12" s="223" t="s">
        <v>129</v>
      </c>
      <c r="F12" s="224" t="s">
        <v>39</v>
      </c>
      <c r="G12" s="191">
        <f>I12/H12</f>
        <v>0.1076</v>
      </c>
      <c r="H12" s="225">
        <v>50</v>
      </c>
      <c r="I12" s="193">
        <v>5.38</v>
      </c>
      <c r="J12" s="226" t="s">
        <v>130</v>
      </c>
      <c r="K12" s="225" t="s">
        <v>53</v>
      </c>
      <c r="L12" s="254">
        <v>550</v>
      </c>
      <c r="M12" s="192">
        <f>L12*I12</f>
        <v>2959</v>
      </c>
      <c r="N12" s="192">
        <v>128</v>
      </c>
      <c r="O12" s="227">
        <v>7.21</v>
      </c>
      <c r="P12" s="228">
        <v>5.9340000000000002</v>
      </c>
      <c r="Q12" s="192">
        <f>P12*N12</f>
        <v>759.55200000000002</v>
      </c>
      <c r="R12" s="229">
        <v>200</v>
      </c>
      <c r="S12" s="229">
        <f>19.5*6.38</f>
        <v>124.41</v>
      </c>
      <c r="T12" s="257">
        <f>S12+R12+Q12+M11+M12</f>
        <v>5592.9619999999995</v>
      </c>
    </row>
    <row r="13" spans="1:20" ht="16.05" customHeight="1" x14ac:dyDescent="0.3">
      <c r="A13" s="230"/>
      <c r="B13" s="231"/>
      <c r="C13" s="232"/>
      <c r="D13" s="203"/>
      <c r="E13" s="231"/>
      <c r="F13" s="233"/>
      <c r="G13" s="206"/>
      <c r="H13" s="234"/>
      <c r="I13" s="209"/>
      <c r="J13" s="235"/>
      <c r="K13" s="234"/>
      <c r="L13" s="256"/>
      <c r="M13" s="208"/>
      <c r="N13" s="236"/>
      <c r="O13" s="237"/>
      <c r="P13" s="238"/>
      <c r="Q13" s="236"/>
      <c r="R13" s="236"/>
      <c r="S13" s="236"/>
      <c r="T13" s="211"/>
    </row>
    <row r="14" spans="1:20" ht="16.05" customHeight="1" x14ac:dyDescent="0.3">
      <c r="A14" s="174">
        <v>4</v>
      </c>
      <c r="B14" s="213" t="s">
        <v>131</v>
      </c>
      <c r="C14" s="101" t="s">
        <v>11</v>
      </c>
      <c r="D14" s="176" t="s">
        <v>132</v>
      </c>
      <c r="E14" s="175" t="s">
        <v>122</v>
      </c>
      <c r="F14" s="214" t="s">
        <v>18</v>
      </c>
      <c r="G14" s="178">
        <f>I14/H14</f>
        <v>0.25222222222222224</v>
      </c>
      <c r="H14" s="176">
        <v>18</v>
      </c>
      <c r="I14" s="176">
        <v>4.54</v>
      </c>
      <c r="J14" s="200" t="s">
        <v>15</v>
      </c>
      <c r="K14" s="176" t="s">
        <v>142</v>
      </c>
      <c r="L14" s="252">
        <v>650</v>
      </c>
      <c r="M14" s="181">
        <f>L14*I14</f>
        <v>2951</v>
      </c>
      <c r="N14" s="181"/>
      <c r="O14" s="179"/>
      <c r="P14" s="182"/>
      <c r="Q14" s="181"/>
      <c r="R14" s="181"/>
      <c r="S14" s="181"/>
      <c r="T14" s="183"/>
    </row>
    <row r="15" spans="1:20" ht="16.05" customHeight="1" x14ac:dyDescent="0.3">
      <c r="A15" s="186"/>
      <c r="B15" s="187" t="s">
        <v>133</v>
      </c>
      <c r="C15" s="188"/>
      <c r="D15" s="188"/>
      <c r="E15" s="189" t="s">
        <v>122</v>
      </c>
      <c r="F15" s="190" t="s">
        <v>134</v>
      </c>
      <c r="G15" s="191">
        <f>I15/H15</f>
        <v>5.7777777777777782E-2</v>
      </c>
      <c r="H15" s="188">
        <v>36</v>
      </c>
      <c r="I15" s="188">
        <v>2.08</v>
      </c>
      <c r="J15" s="201" t="s">
        <v>15</v>
      </c>
      <c r="K15" s="188" t="s">
        <v>143</v>
      </c>
      <c r="L15" s="254">
        <v>475</v>
      </c>
      <c r="M15" s="192">
        <f>L15*I15</f>
        <v>988</v>
      </c>
      <c r="N15" s="192">
        <v>128</v>
      </c>
      <c r="O15" s="193">
        <v>11.62</v>
      </c>
      <c r="P15" s="239">
        <v>10.295999999999999</v>
      </c>
      <c r="Q15" s="192">
        <f>P15*N15</f>
        <v>1317.8879999999999</v>
      </c>
      <c r="R15" s="192">
        <v>200</v>
      </c>
      <c r="S15" s="192">
        <f>19.5*6.62</f>
        <v>129.09</v>
      </c>
      <c r="T15" s="257">
        <f>S15+R15+Q15+M14+M15</f>
        <v>5585.9780000000001</v>
      </c>
    </row>
    <row r="16" spans="1:20" ht="16.05" customHeight="1" x14ac:dyDescent="0.3">
      <c r="A16" s="195"/>
      <c r="B16" s="196"/>
      <c r="C16" s="197"/>
      <c r="D16" s="197"/>
      <c r="E16" s="196"/>
      <c r="F16" s="196"/>
      <c r="G16" s="197"/>
      <c r="H16" s="197"/>
      <c r="I16" s="197"/>
      <c r="J16" s="198"/>
      <c r="K16" s="197"/>
      <c r="L16" s="255"/>
      <c r="M16" s="197"/>
      <c r="N16" s="197"/>
      <c r="O16" s="197"/>
      <c r="P16" s="197"/>
      <c r="Q16" s="197"/>
      <c r="R16" s="197"/>
      <c r="S16" s="197"/>
      <c r="T16" s="199"/>
    </row>
    <row r="17" spans="1:20" ht="16.05" customHeight="1" x14ac:dyDescent="0.3">
      <c r="A17" s="212">
        <v>5</v>
      </c>
      <c r="B17" s="175" t="s">
        <v>135</v>
      </c>
      <c r="C17" s="101" t="s">
        <v>11</v>
      </c>
      <c r="D17" s="175" t="s">
        <v>136</v>
      </c>
      <c r="E17" s="213" t="s">
        <v>129</v>
      </c>
      <c r="F17" s="214" t="s">
        <v>37</v>
      </c>
      <c r="G17" s="178">
        <f>I17/H17</f>
        <v>0.19625000000000001</v>
      </c>
      <c r="H17" s="215">
        <v>16</v>
      </c>
      <c r="I17" s="176">
        <v>3.14</v>
      </c>
      <c r="J17" s="216" t="s">
        <v>82</v>
      </c>
      <c r="K17" s="215" t="s">
        <v>144</v>
      </c>
      <c r="L17" s="252">
        <v>725</v>
      </c>
      <c r="M17" s="181">
        <f>L17*I17</f>
        <v>2276.5</v>
      </c>
      <c r="N17" s="217"/>
      <c r="O17" s="179"/>
      <c r="P17" s="240"/>
      <c r="Q17" s="217"/>
      <c r="R17" s="217"/>
      <c r="S17" s="217"/>
      <c r="T17" s="183"/>
    </row>
    <row r="18" spans="1:20" ht="16.05" customHeight="1" x14ac:dyDescent="0.3">
      <c r="A18" s="220"/>
      <c r="B18" s="187" t="s">
        <v>137</v>
      </c>
      <c r="C18" s="225"/>
      <c r="D18" s="188"/>
      <c r="E18" s="223" t="s">
        <v>138</v>
      </c>
      <c r="F18" s="224" t="s">
        <v>39</v>
      </c>
      <c r="G18" s="191">
        <f>I18/H18</f>
        <v>8.5161290322580643E-2</v>
      </c>
      <c r="H18" s="225">
        <v>31</v>
      </c>
      <c r="I18" s="188">
        <v>2.64</v>
      </c>
      <c r="J18" s="226" t="s">
        <v>130</v>
      </c>
      <c r="K18" s="225" t="s">
        <v>145</v>
      </c>
      <c r="L18" s="254">
        <v>575</v>
      </c>
      <c r="M18" s="192">
        <f>L18*I18</f>
        <v>1518</v>
      </c>
      <c r="N18" s="192">
        <v>128</v>
      </c>
      <c r="O18" s="193">
        <v>8.02</v>
      </c>
      <c r="P18" s="194">
        <v>6.8639999999999999</v>
      </c>
      <c r="Q18" s="192">
        <f>P18*N18</f>
        <v>878.59199999999998</v>
      </c>
      <c r="R18" s="229">
        <v>225</v>
      </c>
      <c r="S18" s="229">
        <f>19.5*5.78</f>
        <v>112.71000000000001</v>
      </c>
      <c r="T18" s="257">
        <f>S18+R18+Q18+M17+M18</f>
        <v>5010.8019999999997</v>
      </c>
    </row>
    <row r="19" spans="1:20" ht="16.05" customHeight="1" x14ac:dyDescent="0.3">
      <c r="A19" s="195"/>
      <c r="B19" s="196"/>
      <c r="C19" s="197"/>
      <c r="D19" s="197"/>
      <c r="E19" s="196"/>
      <c r="F19" s="196"/>
      <c r="G19" s="197"/>
      <c r="H19" s="197"/>
      <c r="I19" s="197"/>
      <c r="J19" s="198"/>
      <c r="K19" s="197"/>
      <c r="L19" s="255"/>
      <c r="M19" s="197"/>
      <c r="N19" s="197"/>
      <c r="O19" s="197"/>
      <c r="P19" s="197"/>
      <c r="Q19" s="197"/>
      <c r="R19" s="197"/>
      <c r="S19" s="197"/>
      <c r="T19" s="199"/>
    </row>
    <row r="20" spans="1:20" ht="16.05" customHeight="1" x14ac:dyDescent="0.3">
      <c r="A20" s="212">
        <v>6</v>
      </c>
      <c r="B20" s="175" t="s">
        <v>135</v>
      </c>
      <c r="C20" s="101" t="s">
        <v>11</v>
      </c>
      <c r="D20" s="175" t="s">
        <v>146</v>
      </c>
      <c r="E20" s="213" t="s">
        <v>129</v>
      </c>
      <c r="F20" s="214" t="s">
        <v>18</v>
      </c>
      <c r="G20" s="178">
        <f>I20/H20</f>
        <v>0.23</v>
      </c>
      <c r="H20" s="215">
        <v>15</v>
      </c>
      <c r="I20" s="176">
        <v>3.45</v>
      </c>
      <c r="J20" s="216" t="s">
        <v>15</v>
      </c>
      <c r="K20" s="215" t="s">
        <v>93</v>
      </c>
      <c r="L20" s="252">
        <v>750</v>
      </c>
      <c r="M20" s="181">
        <f>L20*I20</f>
        <v>2587.5</v>
      </c>
      <c r="N20" s="217"/>
      <c r="O20" s="179"/>
      <c r="P20" s="240"/>
      <c r="Q20" s="217"/>
      <c r="R20" s="217"/>
      <c r="S20" s="217"/>
      <c r="T20" s="183"/>
    </row>
    <row r="21" spans="1:20" ht="16.05" customHeight="1" x14ac:dyDescent="0.3">
      <c r="A21" s="220"/>
      <c r="B21" s="187" t="s">
        <v>147</v>
      </c>
      <c r="C21" s="225"/>
      <c r="D21" s="188"/>
      <c r="E21" s="223" t="s">
        <v>138</v>
      </c>
      <c r="F21" s="224" t="s">
        <v>39</v>
      </c>
      <c r="G21" s="191">
        <f>I21/H21</f>
        <v>0.10206896551724137</v>
      </c>
      <c r="H21" s="225">
        <v>29</v>
      </c>
      <c r="I21" s="188">
        <v>2.96</v>
      </c>
      <c r="J21" s="226" t="s">
        <v>148</v>
      </c>
      <c r="K21" s="225" t="s">
        <v>145</v>
      </c>
      <c r="L21" s="254">
        <v>575</v>
      </c>
      <c r="M21" s="192">
        <f>L21*I21</f>
        <v>1702</v>
      </c>
      <c r="N21" s="192">
        <v>128</v>
      </c>
      <c r="O21" s="193">
        <v>8.4</v>
      </c>
      <c r="P21" s="194">
        <v>7.1180000000000003</v>
      </c>
      <c r="Q21" s="192">
        <f>P21*N21</f>
        <v>911.10400000000004</v>
      </c>
      <c r="R21" s="229">
        <v>205</v>
      </c>
      <c r="S21" s="229">
        <f>19.5*6.41</f>
        <v>124.995</v>
      </c>
      <c r="T21" s="257">
        <f>S21+R21+Q21+M20+M21</f>
        <v>5530.5990000000002</v>
      </c>
    </row>
    <row r="22" spans="1:20" ht="16.05" customHeight="1" x14ac:dyDescent="0.3">
      <c r="A22" s="195"/>
      <c r="B22" s="196"/>
      <c r="C22" s="197"/>
      <c r="D22" s="197"/>
      <c r="E22" s="196"/>
      <c r="F22" s="196"/>
      <c r="G22" s="197"/>
      <c r="H22" s="197"/>
      <c r="I22" s="197"/>
      <c r="J22" s="198"/>
      <c r="K22" s="197"/>
      <c r="L22" s="255"/>
      <c r="M22" s="197"/>
      <c r="N22" s="197"/>
      <c r="O22" s="197"/>
      <c r="P22" s="197"/>
      <c r="Q22" s="197"/>
      <c r="R22" s="197"/>
      <c r="S22" s="197"/>
      <c r="T22" s="199"/>
    </row>
    <row r="23" spans="1:20" ht="16.05" customHeight="1" x14ac:dyDescent="0.3">
      <c r="A23" s="212">
        <v>7</v>
      </c>
      <c r="B23" s="175" t="s">
        <v>149</v>
      </c>
      <c r="C23" s="101" t="s">
        <v>11</v>
      </c>
      <c r="D23" s="175" t="s">
        <v>150</v>
      </c>
      <c r="E23" s="213" t="s">
        <v>129</v>
      </c>
      <c r="F23" s="214" t="s">
        <v>37</v>
      </c>
      <c r="G23" s="178">
        <f>I23/H23</f>
        <v>0.19318181818181818</v>
      </c>
      <c r="H23" s="215">
        <v>22</v>
      </c>
      <c r="I23" s="176">
        <v>4.25</v>
      </c>
      <c r="J23" s="216" t="s">
        <v>130</v>
      </c>
      <c r="K23" s="215" t="s">
        <v>144</v>
      </c>
      <c r="L23" s="252">
        <v>725</v>
      </c>
      <c r="M23" s="181">
        <f>L23*I23</f>
        <v>3081.25</v>
      </c>
      <c r="N23" s="217"/>
      <c r="O23" s="179"/>
      <c r="P23" s="240"/>
      <c r="Q23" s="217"/>
      <c r="R23" s="217"/>
      <c r="S23" s="217"/>
      <c r="T23" s="183"/>
    </row>
    <row r="24" spans="1:20" ht="16.05" customHeight="1" x14ac:dyDescent="0.3">
      <c r="A24" s="220"/>
      <c r="B24" s="187" t="s">
        <v>151</v>
      </c>
      <c r="C24" s="225"/>
      <c r="D24" s="189"/>
      <c r="E24" s="223" t="s">
        <v>152</v>
      </c>
      <c r="F24" s="224" t="s">
        <v>38</v>
      </c>
      <c r="G24" s="191">
        <f>I24/H24</f>
        <v>0.1542857142857143</v>
      </c>
      <c r="H24" s="225">
        <v>28</v>
      </c>
      <c r="I24" s="188">
        <v>4.32</v>
      </c>
      <c r="J24" s="241" t="s">
        <v>82</v>
      </c>
      <c r="K24" s="225" t="s">
        <v>94</v>
      </c>
      <c r="L24" s="254">
        <v>625</v>
      </c>
      <c r="M24" s="192">
        <f>L24*I24</f>
        <v>2700</v>
      </c>
      <c r="N24" s="192">
        <v>128</v>
      </c>
      <c r="O24" s="193">
        <v>9.33</v>
      </c>
      <c r="P24" s="194">
        <v>7.6159999999999997</v>
      </c>
      <c r="Q24" s="192">
        <f>P24*N24</f>
        <v>974.84799999999996</v>
      </c>
      <c r="R24" s="229">
        <v>205</v>
      </c>
      <c r="S24" s="229">
        <f>19.5*8.57</f>
        <v>167.11500000000001</v>
      </c>
      <c r="T24" s="257">
        <f>S24+R24+Q24+M23+M24</f>
        <v>7128.2129999999997</v>
      </c>
    </row>
    <row r="25" spans="1:20" ht="16.05" customHeight="1" x14ac:dyDescent="0.3">
      <c r="A25" s="195"/>
      <c r="B25" s="196"/>
      <c r="C25" s="197"/>
      <c r="D25" s="197"/>
      <c r="E25" s="196"/>
      <c r="F25" s="196"/>
      <c r="G25" s="197"/>
      <c r="H25" s="197"/>
      <c r="I25" s="197"/>
      <c r="J25" s="198"/>
      <c r="K25" s="197"/>
      <c r="L25" s="255"/>
      <c r="M25" s="197"/>
      <c r="N25" s="197"/>
      <c r="O25" s="197"/>
      <c r="P25" s="197"/>
      <c r="Q25" s="197"/>
      <c r="R25" s="197"/>
      <c r="S25" s="197"/>
      <c r="T25" s="199"/>
    </row>
    <row r="26" spans="1:20" ht="16.05" customHeight="1" x14ac:dyDescent="0.3">
      <c r="A26" s="212">
        <v>8</v>
      </c>
      <c r="B26" s="242" t="s">
        <v>153</v>
      </c>
      <c r="C26" s="243" t="s">
        <v>59</v>
      </c>
      <c r="D26" s="175" t="s">
        <v>154</v>
      </c>
      <c r="E26" s="213" t="s">
        <v>122</v>
      </c>
      <c r="F26" s="214" t="s">
        <v>111</v>
      </c>
      <c r="G26" s="178">
        <f>I26/H26</f>
        <v>1</v>
      </c>
      <c r="H26" s="215">
        <v>1</v>
      </c>
      <c r="I26" s="179">
        <v>1</v>
      </c>
      <c r="J26" s="216" t="s">
        <v>155</v>
      </c>
      <c r="K26" s="215" t="s">
        <v>141</v>
      </c>
      <c r="L26" s="252">
        <v>1550</v>
      </c>
      <c r="M26" s="181">
        <f>L26*I26</f>
        <v>1550</v>
      </c>
      <c r="N26" s="217"/>
      <c r="O26" s="218"/>
      <c r="P26" s="219"/>
      <c r="Q26" s="217"/>
      <c r="R26" s="217"/>
      <c r="S26" s="217"/>
      <c r="T26" s="183"/>
    </row>
    <row r="27" spans="1:20" ht="16.05" customHeight="1" x14ac:dyDescent="0.3">
      <c r="A27" s="244"/>
      <c r="B27" s="158"/>
      <c r="C27" s="164"/>
      <c r="D27" s="149"/>
      <c r="E27" s="158" t="s">
        <v>156</v>
      </c>
      <c r="F27" s="151" t="s">
        <v>157</v>
      </c>
      <c r="G27" s="152">
        <f>I27/H27</f>
        <v>2.7142857142857142E-2</v>
      </c>
      <c r="H27" s="159">
        <v>28</v>
      </c>
      <c r="I27" s="153">
        <v>0.76</v>
      </c>
      <c r="J27" s="160" t="s">
        <v>158</v>
      </c>
      <c r="K27" s="159" t="s">
        <v>76</v>
      </c>
      <c r="L27" s="253">
        <v>500</v>
      </c>
      <c r="M27" s="155">
        <f>L27*I27</f>
        <v>380</v>
      </c>
      <c r="N27" s="161"/>
      <c r="O27" s="162"/>
      <c r="P27" s="163"/>
      <c r="Q27" s="161"/>
      <c r="R27" s="161"/>
      <c r="S27" s="161"/>
      <c r="T27" s="185"/>
    </row>
    <row r="28" spans="1:20" ht="16.05" customHeight="1" x14ac:dyDescent="0.3">
      <c r="A28" s="220"/>
      <c r="B28" s="221" t="s">
        <v>159</v>
      </c>
      <c r="C28" s="222"/>
      <c r="D28" s="189"/>
      <c r="E28" s="223" t="s">
        <v>113</v>
      </c>
      <c r="F28" s="224" t="s">
        <v>38</v>
      </c>
      <c r="G28" s="191">
        <f>I28/H28</f>
        <v>0.156</v>
      </c>
      <c r="H28" s="225">
        <v>15</v>
      </c>
      <c r="I28" s="193">
        <v>2.34</v>
      </c>
      <c r="J28" s="226" t="s">
        <v>61</v>
      </c>
      <c r="K28" s="225" t="s">
        <v>94</v>
      </c>
      <c r="L28" s="254">
        <v>675</v>
      </c>
      <c r="M28" s="192">
        <f>L28*I28</f>
        <v>1579.5</v>
      </c>
      <c r="N28" s="192">
        <v>128</v>
      </c>
      <c r="O28" s="227">
        <v>6.1</v>
      </c>
      <c r="P28" s="228">
        <v>5.28</v>
      </c>
      <c r="Q28" s="192">
        <f>P28*N28</f>
        <v>675.84</v>
      </c>
      <c r="R28" s="229">
        <v>205</v>
      </c>
      <c r="S28" s="229">
        <f>15*4.1</f>
        <v>61.499999999999993</v>
      </c>
      <c r="T28" s="257">
        <f>S28+R28+Q28+M26+M27+M28</f>
        <v>4451.84</v>
      </c>
    </row>
    <row r="29" spans="1:20" ht="16.05" customHeight="1" x14ac:dyDescent="0.3">
      <c r="A29" s="230"/>
      <c r="B29" s="231"/>
      <c r="C29" s="232"/>
      <c r="D29" s="203"/>
      <c r="E29" s="231"/>
      <c r="F29" s="233"/>
      <c r="G29" s="206"/>
      <c r="H29" s="234"/>
      <c r="I29" s="209"/>
      <c r="J29" s="235"/>
      <c r="K29" s="234"/>
      <c r="L29" s="256"/>
      <c r="M29" s="208"/>
      <c r="N29" s="236"/>
      <c r="O29" s="237"/>
      <c r="P29" s="238"/>
      <c r="Q29" s="236"/>
      <c r="R29" s="236"/>
      <c r="S29" s="236"/>
      <c r="T29" s="211"/>
    </row>
    <row r="30" spans="1:20" ht="16.05" customHeight="1" x14ac:dyDescent="0.3">
      <c r="A30" s="174">
        <v>9</v>
      </c>
      <c r="B30" s="175" t="s">
        <v>160</v>
      </c>
      <c r="C30" s="101" t="s">
        <v>11</v>
      </c>
      <c r="D30" s="176" t="s">
        <v>161</v>
      </c>
      <c r="E30" s="175" t="s">
        <v>162</v>
      </c>
      <c r="F30" s="177" t="s">
        <v>163</v>
      </c>
      <c r="G30" s="178">
        <f t="shared" ref="G30:G39" si="0">I30/H30</f>
        <v>0.6</v>
      </c>
      <c r="H30" s="176">
        <v>1</v>
      </c>
      <c r="I30" s="179">
        <v>0.6</v>
      </c>
      <c r="J30" s="180" t="s">
        <v>164</v>
      </c>
      <c r="K30" s="176" t="s">
        <v>168</v>
      </c>
      <c r="L30" s="252">
        <v>850</v>
      </c>
      <c r="M30" s="181">
        <f>L30*I30</f>
        <v>510</v>
      </c>
      <c r="N30" s="181"/>
      <c r="O30" s="179"/>
      <c r="P30" s="182"/>
      <c r="Q30" s="181"/>
      <c r="R30" s="181"/>
      <c r="S30" s="181"/>
      <c r="T30" s="183"/>
    </row>
    <row r="31" spans="1:20" ht="16.05" customHeight="1" x14ac:dyDescent="0.3">
      <c r="A31" s="184"/>
      <c r="B31" s="149"/>
      <c r="C31" s="150"/>
      <c r="D31" s="150"/>
      <c r="E31" s="149" t="s">
        <v>152</v>
      </c>
      <c r="F31" s="151" t="s">
        <v>85</v>
      </c>
      <c r="G31" s="152">
        <f t="shared" si="0"/>
        <v>0.41</v>
      </c>
      <c r="H31" s="150">
        <v>4</v>
      </c>
      <c r="I31" s="150">
        <v>1.64</v>
      </c>
      <c r="J31" s="154" t="s">
        <v>164</v>
      </c>
      <c r="K31" s="150" t="s">
        <v>144</v>
      </c>
      <c r="L31" s="253">
        <v>700</v>
      </c>
      <c r="M31" s="155">
        <f>L31*I31</f>
        <v>1148</v>
      </c>
      <c r="N31" s="155"/>
      <c r="O31" s="153"/>
      <c r="P31" s="156"/>
      <c r="Q31" s="155"/>
      <c r="R31" s="155"/>
      <c r="S31" s="155"/>
      <c r="T31" s="185"/>
    </row>
    <row r="32" spans="1:20" ht="16.05" customHeight="1" x14ac:dyDescent="0.3">
      <c r="A32" s="184"/>
      <c r="B32" s="149"/>
      <c r="C32" s="150"/>
      <c r="D32" s="150"/>
      <c r="E32" s="149" t="s">
        <v>113</v>
      </c>
      <c r="F32" s="151" t="s">
        <v>39</v>
      </c>
      <c r="G32" s="152">
        <f t="shared" si="0"/>
        <v>0.12</v>
      </c>
      <c r="H32" s="150">
        <v>6</v>
      </c>
      <c r="I32" s="150">
        <v>0.72</v>
      </c>
      <c r="J32" s="154" t="s">
        <v>165</v>
      </c>
      <c r="K32" s="150" t="s">
        <v>94</v>
      </c>
      <c r="L32" s="253">
        <v>600</v>
      </c>
      <c r="M32" s="155">
        <f>L32*I32</f>
        <v>432</v>
      </c>
      <c r="N32" s="155"/>
      <c r="O32" s="153"/>
      <c r="P32" s="156"/>
      <c r="Q32" s="155"/>
      <c r="R32" s="155"/>
      <c r="S32" s="155"/>
      <c r="T32" s="185"/>
    </row>
    <row r="33" spans="1:20" ht="16.05" customHeight="1" x14ac:dyDescent="0.3">
      <c r="A33" s="186"/>
      <c r="B33" s="187" t="s">
        <v>166</v>
      </c>
      <c r="C33" s="188"/>
      <c r="D33" s="188"/>
      <c r="E33" s="189" t="s">
        <v>156</v>
      </c>
      <c r="F33" s="190" t="s">
        <v>157</v>
      </c>
      <c r="G33" s="191">
        <f t="shared" si="0"/>
        <v>2.7916666666666669E-2</v>
      </c>
      <c r="H33" s="188">
        <v>48</v>
      </c>
      <c r="I33" s="188">
        <v>1.34</v>
      </c>
      <c r="J33" s="187" t="s">
        <v>167</v>
      </c>
      <c r="K33" s="188" t="s">
        <v>52</v>
      </c>
      <c r="L33" s="254">
        <v>500</v>
      </c>
      <c r="M33" s="192">
        <f>L33*I33</f>
        <v>670</v>
      </c>
      <c r="N33" s="192">
        <v>128</v>
      </c>
      <c r="O33" s="193">
        <v>9.14</v>
      </c>
      <c r="P33" s="239">
        <v>8.2799999999999994</v>
      </c>
      <c r="Q33" s="192">
        <f>P33*N33</f>
        <v>1059.8399999999999</v>
      </c>
      <c r="R33" s="192">
        <v>225</v>
      </c>
      <c r="S33" s="192">
        <f>19.5*4.3</f>
        <v>83.85</v>
      </c>
      <c r="T33" s="257">
        <f>S33+R33+Q33+M30+M31+M32+M33</f>
        <v>4128.6900000000005</v>
      </c>
    </row>
    <row r="34" spans="1:20" ht="16.05" customHeight="1" x14ac:dyDescent="0.3">
      <c r="A34" s="202"/>
      <c r="B34" s="203"/>
      <c r="C34" s="204"/>
      <c r="D34" s="204"/>
      <c r="E34" s="203"/>
      <c r="F34" s="205"/>
      <c r="G34" s="206"/>
      <c r="H34" s="204"/>
      <c r="I34" s="204"/>
      <c r="J34" s="245"/>
      <c r="K34" s="204"/>
      <c r="L34" s="256"/>
      <c r="M34" s="208"/>
      <c r="N34" s="208"/>
      <c r="O34" s="209"/>
      <c r="P34" s="210"/>
      <c r="Q34" s="208"/>
      <c r="R34" s="208"/>
      <c r="S34" s="208"/>
      <c r="T34" s="211"/>
    </row>
    <row r="35" spans="1:20" ht="16.05" customHeight="1" x14ac:dyDescent="0.3">
      <c r="A35" s="212">
        <v>10</v>
      </c>
      <c r="B35" s="213" t="s">
        <v>169</v>
      </c>
      <c r="C35" s="101" t="s">
        <v>11</v>
      </c>
      <c r="D35" s="175" t="s">
        <v>170</v>
      </c>
      <c r="E35" s="213" t="s">
        <v>152</v>
      </c>
      <c r="F35" s="214" t="s">
        <v>171</v>
      </c>
      <c r="G35" s="178">
        <f t="shared" si="0"/>
        <v>8.7884615384615394E-2</v>
      </c>
      <c r="H35" s="215">
        <v>52</v>
      </c>
      <c r="I35" s="176">
        <v>4.57</v>
      </c>
      <c r="J35" s="216" t="s">
        <v>172</v>
      </c>
      <c r="K35" s="215" t="s">
        <v>53</v>
      </c>
      <c r="L35" s="252">
        <v>550</v>
      </c>
      <c r="M35" s="181">
        <f>L35*I35</f>
        <v>2513.5</v>
      </c>
      <c r="N35" s="217"/>
      <c r="O35" s="179"/>
      <c r="P35" s="240"/>
      <c r="Q35" s="217"/>
      <c r="R35" s="217"/>
      <c r="S35" s="217"/>
      <c r="T35" s="183"/>
    </row>
    <row r="36" spans="1:20" ht="16.05" customHeight="1" x14ac:dyDescent="0.3">
      <c r="A36" s="220"/>
      <c r="B36" s="187" t="s">
        <v>173</v>
      </c>
      <c r="C36" s="225"/>
      <c r="D36" s="189"/>
      <c r="E36" s="223" t="s">
        <v>129</v>
      </c>
      <c r="F36" s="224" t="s">
        <v>18</v>
      </c>
      <c r="G36" s="191">
        <f t="shared" si="0"/>
        <v>0.23307692307692307</v>
      </c>
      <c r="H36" s="225">
        <v>13</v>
      </c>
      <c r="I36" s="188">
        <v>3.03</v>
      </c>
      <c r="J36" s="226" t="s">
        <v>15</v>
      </c>
      <c r="K36" s="225" t="s">
        <v>93</v>
      </c>
      <c r="L36" s="254">
        <v>750</v>
      </c>
      <c r="M36" s="192">
        <f>L36*I36</f>
        <v>2272.5</v>
      </c>
      <c r="N36" s="192">
        <v>128</v>
      </c>
      <c r="O36" s="193">
        <v>13.65</v>
      </c>
      <c r="P36" s="194">
        <v>12.13</v>
      </c>
      <c r="Q36" s="192">
        <f>P36*N36</f>
        <v>1552.64</v>
      </c>
      <c r="R36" s="229">
        <v>225</v>
      </c>
      <c r="S36" s="229">
        <f>19.5*7.6</f>
        <v>148.19999999999999</v>
      </c>
      <c r="T36" s="257">
        <f>S36+R36+Q36+M35+M36</f>
        <v>6711.84</v>
      </c>
    </row>
    <row r="37" spans="1:20" ht="16.05" customHeight="1" x14ac:dyDescent="0.3">
      <c r="A37" s="195"/>
      <c r="B37" s="196"/>
      <c r="C37" s="197"/>
      <c r="D37" s="197"/>
      <c r="E37" s="196"/>
      <c r="F37" s="196"/>
      <c r="G37" s="197"/>
      <c r="H37" s="197"/>
      <c r="I37" s="197"/>
      <c r="J37" s="198"/>
      <c r="K37" s="197"/>
      <c r="L37" s="255"/>
      <c r="M37" s="197"/>
      <c r="N37" s="197"/>
      <c r="O37" s="197"/>
      <c r="P37" s="197"/>
      <c r="Q37" s="197"/>
      <c r="R37" s="197"/>
      <c r="S37" s="197"/>
      <c r="T37" s="199"/>
    </row>
    <row r="38" spans="1:20" ht="16.05" customHeight="1" x14ac:dyDescent="0.3">
      <c r="A38" s="212">
        <v>11</v>
      </c>
      <c r="B38" s="213" t="s">
        <v>174</v>
      </c>
      <c r="C38" s="101" t="s">
        <v>11</v>
      </c>
      <c r="D38" s="175" t="s">
        <v>175</v>
      </c>
      <c r="E38" s="213" t="s">
        <v>122</v>
      </c>
      <c r="F38" s="214" t="s">
        <v>14</v>
      </c>
      <c r="G38" s="178">
        <f t="shared" si="0"/>
        <v>0.52461538461538459</v>
      </c>
      <c r="H38" s="215">
        <v>13</v>
      </c>
      <c r="I38" s="179">
        <v>6.82</v>
      </c>
      <c r="J38" s="216" t="s">
        <v>112</v>
      </c>
      <c r="K38" s="215" t="s">
        <v>177</v>
      </c>
      <c r="L38" s="252">
        <v>825</v>
      </c>
      <c r="M38" s="181">
        <f>L38*I38</f>
        <v>5626.5</v>
      </c>
      <c r="N38" s="217"/>
      <c r="O38" s="218"/>
      <c r="P38" s="219"/>
      <c r="Q38" s="217"/>
      <c r="R38" s="217"/>
      <c r="S38" s="217"/>
      <c r="T38" s="183"/>
    </row>
    <row r="39" spans="1:20" ht="16.05" customHeight="1" x14ac:dyDescent="0.3">
      <c r="A39" s="220"/>
      <c r="B39" s="221" t="s">
        <v>176</v>
      </c>
      <c r="C39" s="222"/>
      <c r="D39" s="189"/>
      <c r="E39" s="223" t="s">
        <v>129</v>
      </c>
      <c r="F39" s="224" t="s">
        <v>38</v>
      </c>
      <c r="G39" s="191">
        <f t="shared" si="0"/>
        <v>0.13974358974358975</v>
      </c>
      <c r="H39" s="225">
        <v>39</v>
      </c>
      <c r="I39" s="193">
        <v>5.45</v>
      </c>
      <c r="J39" s="226" t="s">
        <v>130</v>
      </c>
      <c r="K39" s="225" t="s">
        <v>53</v>
      </c>
      <c r="L39" s="254">
        <v>675</v>
      </c>
      <c r="M39" s="192">
        <f>L39*I39</f>
        <v>3678.75</v>
      </c>
      <c r="N39" s="192">
        <v>128</v>
      </c>
      <c r="O39" s="227">
        <v>11</v>
      </c>
      <c r="P39" s="228">
        <v>8.5459999999999994</v>
      </c>
      <c r="Q39" s="192">
        <f>P39*N39</f>
        <v>1093.8879999999999</v>
      </c>
      <c r="R39" s="229">
        <v>205</v>
      </c>
      <c r="S39" s="229">
        <f>19.5*12.27</f>
        <v>239.26499999999999</v>
      </c>
      <c r="T39" s="257">
        <f>S39+R39+Q39+M38+M39</f>
        <v>10843.403</v>
      </c>
    </row>
    <row r="40" spans="1:20" s="147" customFormat="1" ht="16.05" customHeight="1" x14ac:dyDescent="0.3">
      <c r="A40" s="230">
        <f>SUBTOTAL(103,Table2[Sr])</f>
        <v>11</v>
      </c>
      <c r="B40" s="234"/>
      <c r="C40" s="246"/>
      <c r="D40" s="204"/>
      <c r="E40" s="234"/>
      <c r="F40" s="234"/>
      <c r="G40" s="204"/>
      <c r="H40" s="234">
        <f>SUBTOTAL(109,Table2[No.Pcs])</f>
        <v>567</v>
      </c>
      <c r="I40" s="247">
        <f>SUBTOTAL(109,Table2[Diam Cts])</f>
        <v>71.73</v>
      </c>
      <c r="J40" s="234"/>
      <c r="K40" s="234"/>
      <c r="L40" s="248"/>
      <c r="M40" s="208">
        <f>SUBTOTAL(109,Table2[Diam Total])</f>
        <v>50084</v>
      </c>
      <c r="N40" s="246"/>
      <c r="O40" s="249">
        <f>SUBTOTAL(109,Table2[Gross Gm])</f>
        <v>101.36</v>
      </c>
      <c r="P40" s="250">
        <f>SUBTOTAL(109,Table2[Net Gm])</f>
        <v>87.013999999999982</v>
      </c>
      <c r="Q40" s="251">
        <f>SUBTOTAL(109,Table2[Gold Total])</f>
        <v>11137.791999999998</v>
      </c>
      <c r="R40" s="236">
        <f>SUBTOTAL(109,Table2[Labour])</f>
        <v>2295</v>
      </c>
      <c r="S40" s="236">
        <f>SUBTOTAL(109,Table2[Cert Exp])</f>
        <v>1380.2849999999999</v>
      </c>
      <c r="T40" s="258">
        <f>SUBTOTAL(109,Table2[Total Amt])</f>
        <v>64897.076999999997</v>
      </c>
    </row>
    <row r="41" spans="1:20" ht="16.05" customHeight="1" x14ac:dyDescent="0.3">
      <c r="A41" s="138"/>
      <c r="B41" s="139"/>
      <c r="C41" s="145"/>
      <c r="D41" s="132"/>
      <c r="E41" s="139"/>
      <c r="F41" s="140"/>
      <c r="G41" s="133"/>
      <c r="H41" s="138"/>
      <c r="I41" s="135"/>
      <c r="J41" s="141"/>
      <c r="K41" s="138"/>
      <c r="L41" s="137"/>
      <c r="M41" s="3">
        <v>1</v>
      </c>
      <c r="N41" s="3"/>
      <c r="O41" s="4"/>
      <c r="P41" s="3"/>
      <c r="Q41" s="3">
        <v>2</v>
      </c>
      <c r="R41" s="3">
        <v>3</v>
      </c>
      <c r="S41" s="3">
        <v>4</v>
      </c>
      <c r="T41" s="3" t="s">
        <v>77</v>
      </c>
    </row>
    <row r="42" spans="1:20" ht="16.05" customHeight="1" x14ac:dyDescent="0.3">
      <c r="A42" s="128" t="s">
        <v>79</v>
      </c>
      <c r="B42" s="129"/>
      <c r="C42" s="129"/>
      <c r="D42" s="130"/>
      <c r="E42" s="146"/>
      <c r="F42" s="138"/>
      <c r="G42" s="131"/>
      <c r="H42" s="138"/>
      <c r="I42" s="135"/>
      <c r="J42" s="138"/>
      <c r="K42" s="138"/>
      <c r="L42" s="147"/>
      <c r="M42" s="134"/>
      <c r="N42" s="147"/>
      <c r="O42" s="143"/>
      <c r="P42" s="144"/>
      <c r="Q42" s="148"/>
      <c r="R42" s="142"/>
      <c r="S42" s="142"/>
      <c r="T42" s="142"/>
    </row>
  </sheetData>
  <mergeCells count="2">
    <mergeCell ref="A1:T1"/>
    <mergeCell ref="A42:D42"/>
  </mergeCells>
  <hyperlinks>
    <hyperlink ref="C3" r:id="rId1" xr:uid="{0059632D-796F-4AC4-880E-3EA4D8F53422}"/>
    <hyperlink ref="C7" r:id="rId2" xr:uid="{80F49793-A1EC-4178-9040-49EA89D88799}"/>
    <hyperlink ref="C11" r:id="rId3" xr:uid="{F40452BC-E91D-4189-96B9-DDAE26949724}"/>
    <hyperlink ref="C14" r:id="rId4" xr:uid="{C5D5CF68-2C85-4C80-9464-9FEB75DC80A3}"/>
    <hyperlink ref="C17" r:id="rId5" xr:uid="{D5C41D31-8CB0-4E42-87D7-7C2F6D4F68C1}"/>
    <hyperlink ref="C20" r:id="rId6" xr:uid="{2B3CA89C-2CC4-41CA-992B-94946192FBD7}"/>
    <hyperlink ref="C23" r:id="rId7" xr:uid="{6BB92001-76AE-4775-93B1-76B3DE70F760}"/>
    <hyperlink ref="C26" r:id="rId8" xr:uid="{71F87C64-0019-4994-8A3B-33E9DB817D64}"/>
    <hyperlink ref="C30" r:id="rId9" xr:uid="{A78BA9F8-C140-41E9-9E9C-32FCCD00E320}"/>
    <hyperlink ref="C35" r:id="rId10" xr:uid="{03BBB4A9-DDB3-477E-8E65-AD0F270BE3D6}"/>
    <hyperlink ref="C38" r:id="rId11" xr:uid="{A62959A9-FDA5-4884-9087-0774D330C41C}"/>
  </hyperlinks>
  <pageMargins left="0.7" right="0.7" top="0.75" bottom="0.75" header="0.3" footer="0.3"/>
  <pageSetup paperSize="9" scale="72" orientation="landscape" r:id="rId12"/>
  <legacyDrawing r:id="rId13"/>
  <tableParts count="1"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Nks</vt:lpstr>
      <vt:lpstr>Braclets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Star-Viraj Shah</dc:creator>
  <cp:lastModifiedBy>Antonia Star-Viraj Shah</cp:lastModifiedBy>
  <cp:lastPrinted>2026-01-30T13:44:49Z</cp:lastPrinted>
  <dcterms:created xsi:type="dcterms:W3CDTF">2026-01-29T07:37:50Z</dcterms:created>
  <dcterms:modified xsi:type="dcterms:W3CDTF">2026-01-30T13:58:02Z</dcterms:modified>
</cp:coreProperties>
</file>