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103\new data important\1.NEW DATA 10.10.2015\"/>
    </mc:Choice>
  </mc:AlternateContent>
  <xr:revisionPtr revIDLastSave="0" documentId="13_ncr:1_{62444BBC-42FB-4971-9510-DD9363D2B219}" xr6:coauthVersionLast="47" xr6:coauthVersionMax="47" xr10:uidLastSave="{00000000-0000-0000-0000-000000000000}"/>
  <bookViews>
    <workbookView xWindow="-108" yWindow="-108" windowWidth="23256" windowHeight="12456" firstSheet="1" activeTab="1" xr2:uid="{92EAD456-D1BA-46B3-8C6A-FCE56D906813}"/>
  </bookViews>
  <sheets>
    <sheet name="Sheet1" sheetId="1" state="hidden" r:id="rId1"/>
    <sheet name="Dhamani Jewels" sheetId="4" r:id="rId2"/>
  </sheets>
  <definedNames>
    <definedName name="_xlnm.Print_Titles" localSheetId="1">'Dhamani Jewels'!$2:$4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1" i="4" l="1"/>
  <c r="T18" i="4"/>
  <c r="U18" i="4" s="1"/>
  <c r="T13" i="4"/>
  <c r="T7" i="4"/>
  <c r="U64" i="4"/>
  <c r="U38" i="4"/>
  <c r="U28" i="4"/>
  <c r="U25" i="4"/>
  <c r="U23" i="4"/>
  <c r="U21" i="4"/>
  <c r="U15" i="4"/>
  <c r="U13" i="4"/>
  <c r="U9" i="4"/>
  <c r="U7" i="4"/>
  <c r="U5" i="4"/>
  <c r="R64" i="4"/>
  <c r="R38" i="4"/>
  <c r="R28" i="4"/>
  <c r="R25" i="4"/>
  <c r="R23" i="4"/>
  <c r="R21" i="4"/>
  <c r="R18" i="4"/>
  <c r="R15" i="4"/>
  <c r="R13" i="4"/>
  <c r="R9" i="4"/>
  <c r="R7" i="4"/>
  <c r="R5" i="4"/>
  <c r="N5" i="4"/>
  <c r="N7" i="4"/>
  <c r="N9" i="4"/>
  <c r="N11" i="4"/>
  <c r="N12" i="4"/>
  <c r="N13" i="4"/>
  <c r="N15" i="4"/>
  <c r="N17" i="4"/>
  <c r="N18" i="4"/>
  <c r="N20" i="4"/>
  <c r="N21" i="4"/>
  <c r="N23" i="4"/>
  <c r="N25" i="4"/>
  <c r="N27" i="4"/>
  <c r="N28" i="4"/>
  <c r="N30" i="4"/>
  <c r="N31" i="4"/>
  <c r="N32" i="4"/>
  <c r="N33" i="4"/>
  <c r="N34" i="4"/>
  <c r="N35" i="4"/>
  <c r="N36" i="4"/>
  <c r="N37" i="4"/>
  <c r="N38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8" i="4"/>
  <c r="H37" i="4"/>
  <c r="H36" i="4"/>
  <c r="H35" i="4"/>
  <c r="H34" i="4"/>
  <c r="H33" i="4"/>
  <c r="H32" i="4"/>
  <c r="H31" i="4"/>
  <c r="H30" i="4"/>
  <c r="H28" i="4"/>
  <c r="H27" i="4"/>
  <c r="H25" i="4"/>
  <c r="H23" i="4"/>
  <c r="H21" i="4"/>
  <c r="H20" i="4"/>
  <c r="H18" i="4"/>
  <c r="H17" i="4"/>
  <c r="H15" i="4"/>
  <c r="H13" i="4"/>
  <c r="H12" i="4"/>
  <c r="H11" i="4"/>
  <c r="H9" i="4"/>
  <c r="H7" i="4"/>
  <c r="H5" i="4"/>
  <c r="T15" i="4"/>
  <c r="S65" i="4" l="1"/>
  <c r="Q65" i="4"/>
  <c r="P65" i="4"/>
  <c r="J65" i="4"/>
  <c r="I65" i="4"/>
  <c r="A65" i="4"/>
  <c r="T38" i="4"/>
  <c r="T28" i="4"/>
  <c r="T23" i="4"/>
  <c r="T9" i="4"/>
  <c r="T5" i="4"/>
  <c r="N65" i="4" l="1"/>
  <c r="T65" i="4"/>
  <c r="R65" i="4"/>
  <c r="U65" i="4" l="1"/>
  <c r="A43" i="1" l="1"/>
  <c r="R43" i="1" l="1"/>
  <c r="O43" i="1"/>
  <c r="P43" i="1"/>
  <c r="I43" i="1"/>
  <c r="H43" i="1"/>
  <c r="S42" i="1"/>
  <c r="S29" i="1"/>
  <c r="S17" i="1"/>
  <c r="S15" i="1"/>
  <c r="S14" i="1"/>
  <c r="S12" i="1"/>
  <c r="S11" i="1"/>
  <c r="S9" i="1"/>
  <c r="S8" i="1"/>
  <c r="S6" i="1"/>
  <c r="S5" i="1"/>
  <c r="Q42" i="1"/>
  <c r="Q29" i="1"/>
  <c r="Q17" i="1"/>
  <c r="Q15" i="1"/>
  <c r="Q14" i="1"/>
  <c r="Q12" i="1"/>
  <c r="Q11" i="1"/>
  <c r="Q9" i="1"/>
  <c r="Q8" i="1"/>
  <c r="Q6" i="1"/>
  <c r="Q5" i="1"/>
  <c r="M42" i="1"/>
  <c r="M41" i="1"/>
  <c r="M40" i="1"/>
  <c r="M39" i="1"/>
  <c r="M38" i="1"/>
  <c r="M37" i="1"/>
  <c r="M36" i="1"/>
  <c r="M35" i="1"/>
  <c r="M34" i="1"/>
  <c r="M33" i="1"/>
  <c r="M32" i="1"/>
  <c r="M31" i="1"/>
  <c r="M29" i="1"/>
  <c r="M28" i="1"/>
  <c r="M27" i="1"/>
  <c r="M26" i="1"/>
  <c r="M25" i="1"/>
  <c r="M24" i="1"/>
  <c r="M23" i="1"/>
  <c r="M22" i="1"/>
  <c r="M21" i="1"/>
  <c r="M20" i="1"/>
  <c r="M15" i="1"/>
  <c r="M14" i="1"/>
  <c r="M12" i="1"/>
  <c r="M11" i="1"/>
  <c r="M9" i="1"/>
  <c r="M8" i="1"/>
  <c r="M6" i="1"/>
  <c r="M5" i="1"/>
  <c r="G42" i="1"/>
  <c r="G41" i="1"/>
  <c r="G40" i="1"/>
  <c r="G39" i="1"/>
  <c r="G38" i="1"/>
  <c r="G37" i="1"/>
  <c r="G36" i="1"/>
  <c r="G35" i="1"/>
  <c r="G34" i="1"/>
  <c r="G33" i="1"/>
  <c r="G32" i="1"/>
  <c r="G31" i="1"/>
  <c r="G29" i="1"/>
  <c r="G28" i="1"/>
  <c r="G27" i="1"/>
  <c r="G26" i="1"/>
  <c r="G25" i="1"/>
  <c r="G24" i="1"/>
  <c r="G23" i="1"/>
  <c r="G22" i="1"/>
  <c r="G21" i="1"/>
  <c r="G20" i="1"/>
  <c r="G17" i="1"/>
  <c r="G15" i="1"/>
  <c r="G14" i="1"/>
  <c r="G12" i="1"/>
  <c r="G11" i="1"/>
  <c r="G9" i="1"/>
  <c r="G8" i="1"/>
  <c r="G6" i="1"/>
  <c r="G5" i="1"/>
  <c r="T9" i="1" l="1"/>
  <c r="T11" i="1"/>
  <c r="T8" i="1"/>
  <c r="T12" i="1"/>
  <c r="Q43" i="1"/>
  <c r="T6" i="1"/>
  <c r="T42" i="1"/>
  <c r="T14" i="1"/>
  <c r="T15" i="1"/>
  <c r="T5" i="1"/>
  <c r="T29" i="1"/>
  <c r="S43" i="1"/>
  <c r="M17" i="1" l="1"/>
  <c r="M43" i="1" s="1"/>
  <c r="T17" i="1"/>
  <c r="T43" i="1" s="1"/>
</calcChain>
</file>

<file path=xl/sharedStrings.xml><?xml version="1.0" encoding="utf-8"?>
<sst xmlns="http://schemas.openxmlformats.org/spreadsheetml/2006/main" count="435" uniqueCount="185">
  <si>
    <t>Sr</t>
  </si>
  <si>
    <t>Length</t>
  </si>
  <si>
    <t>ITEM</t>
  </si>
  <si>
    <t>LAB</t>
  </si>
  <si>
    <t>Cert Number</t>
  </si>
  <si>
    <t>Size Avg.</t>
  </si>
  <si>
    <t>Avg Pts</t>
  </si>
  <si>
    <t>No.Pcs</t>
  </si>
  <si>
    <t>Diam Cts</t>
  </si>
  <si>
    <t>Col - Clarity</t>
  </si>
  <si>
    <t>LOT</t>
  </si>
  <si>
    <t>Per/ct</t>
  </si>
  <si>
    <t>Diam Total</t>
  </si>
  <si>
    <t>Gold+Lab</t>
  </si>
  <si>
    <t>Gross Gm</t>
  </si>
  <si>
    <t>Net Gm</t>
  </si>
  <si>
    <t>Gold Total</t>
  </si>
  <si>
    <t>Cert Exp</t>
  </si>
  <si>
    <t>Total Amt</t>
  </si>
  <si>
    <t>HRD</t>
  </si>
  <si>
    <t>J260000105039</t>
  </si>
  <si>
    <t>+12-13</t>
  </si>
  <si>
    <t>EF VS-SI</t>
  </si>
  <si>
    <t>CQCZ</t>
  </si>
  <si>
    <t>J260000066371</t>
  </si>
  <si>
    <t>+13-13.50</t>
  </si>
  <si>
    <t>J260000049963</t>
  </si>
  <si>
    <t>+14</t>
  </si>
  <si>
    <t>EF VS</t>
  </si>
  <si>
    <t>CQSC</t>
  </si>
  <si>
    <t>J260000049967</t>
  </si>
  <si>
    <t>1/5</t>
  </si>
  <si>
    <t>EF SI</t>
  </si>
  <si>
    <t>CCZZ</t>
  </si>
  <si>
    <t>J260000049964</t>
  </si>
  <si>
    <t>J250000040440</t>
  </si>
  <si>
    <t>1/4</t>
  </si>
  <si>
    <t>EF VVS-VS</t>
  </si>
  <si>
    <t>CCCZ</t>
  </si>
  <si>
    <t>J250000112877</t>
  </si>
  <si>
    <t>1/3</t>
  </si>
  <si>
    <t>J240000050287</t>
  </si>
  <si>
    <t>45-49</t>
  </si>
  <si>
    <t>(1+2+3+4)</t>
  </si>
  <si>
    <t>Full Straight Necklace</t>
  </si>
  <si>
    <t>Cts : 20.80 /Pcs : 113</t>
  </si>
  <si>
    <t>EFG VS-SI</t>
  </si>
  <si>
    <t>Gold/gm</t>
  </si>
  <si>
    <t>Labour</t>
  </si>
  <si>
    <t>70% Graduation Necklace Rounds</t>
  </si>
  <si>
    <t>Cts : 11.67 / Pcs : 107</t>
  </si>
  <si>
    <t>12 inch Dia + 5 Inch Gold=17 Inch</t>
  </si>
  <si>
    <t>CXCC</t>
  </si>
  <si>
    <t>1ct</t>
  </si>
  <si>
    <t xml:space="preserve">EF VS-SI </t>
  </si>
  <si>
    <t>50</t>
  </si>
  <si>
    <t>+12-14</t>
  </si>
  <si>
    <t>+11-12</t>
  </si>
  <si>
    <t>+8-11</t>
  </si>
  <si>
    <t>+6.50-8</t>
  </si>
  <si>
    <t>Full Graduation Necklace</t>
  </si>
  <si>
    <t>Cts : 14.11/ Pcs : 151</t>
  </si>
  <si>
    <t>17 Inch</t>
  </si>
  <si>
    <t>90</t>
  </si>
  <si>
    <t>1/2</t>
  </si>
  <si>
    <t>3/8</t>
  </si>
  <si>
    <t>+11-11.50</t>
  </si>
  <si>
    <t>J240000122222</t>
  </si>
  <si>
    <t>J250000119838</t>
  </si>
  <si>
    <t>J250000161740</t>
  </si>
  <si>
    <t>Diam Settg</t>
  </si>
  <si>
    <t>Tennis Braclet Rounds</t>
  </si>
  <si>
    <t>Tennis Braclet U - Rounds</t>
  </si>
  <si>
    <t>CCSC</t>
  </si>
  <si>
    <t>UDSC</t>
  </si>
  <si>
    <t>XCZ</t>
  </si>
  <si>
    <t>XZZ</t>
  </si>
  <si>
    <t>CZZ</t>
  </si>
  <si>
    <t>QSC</t>
  </si>
  <si>
    <t>QDC</t>
  </si>
  <si>
    <t>QUC</t>
  </si>
  <si>
    <t>TZZ</t>
  </si>
  <si>
    <t>DHZ</t>
  </si>
  <si>
    <t>NCZ</t>
  </si>
  <si>
    <t>QCZ</t>
  </si>
  <si>
    <t>17.70cm</t>
  </si>
  <si>
    <t>17.50cm</t>
  </si>
  <si>
    <t>17.30cm</t>
  </si>
  <si>
    <t>18.00cm</t>
  </si>
  <si>
    <t>18.0cm</t>
  </si>
  <si>
    <t>18k White Gold Jewellery in Natural Diamonds</t>
  </si>
  <si>
    <t>Total Amt $</t>
  </si>
  <si>
    <t>CXCZ</t>
  </si>
  <si>
    <t>Consignment Packing List of Qahtan Jewellery LLC (Dated : 01 July 2026)</t>
  </si>
  <si>
    <t>Parcel Id</t>
  </si>
  <si>
    <t>Size2</t>
  </si>
  <si>
    <t>Per/ct2</t>
  </si>
  <si>
    <t>17.5cm</t>
  </si>
  <si>
    <t>Emerald Braclet</t>
  </si>
  <si>
    <t>J250000112875</t>
  </si>
  <si>
    <t>Emerald</t>
  </si>
  <si>
    <t>FG VVS-VS</t>
  </si>
  <si>
    <t>Emd Horiz. Brc</t>
  </si>
  <si>
    <t>J250000081112</t>
  </si>
  <si>
    <t>J250000053267</t>
  </si>
  <si>
    <t>17.7cm</t>
  </si>
  <si>
    <t>GIA</t>
  </si>
  <si>
    <t>Gia Certified</t>
  </si>
  <si>
    <t>D-G VVS-VS</t>
  </si>
  <si>
    <t>Emerald Illusion Brc</t>
  </si>
  <si>
    <t>J250000084446</t>
  </si>
  <si>
    <t>Cts :23.36/Pcs: 159</t>
  </si>
  <si>
    <t>1/10</t>
  </si>
  <si>
    <t>Emerald Graduation Nks -V Shape</t>
  </si>
  <si>
    <t>J240000084814</t>
  </si>
  <si>
    <t>Cts : 28.41 / Pcs : 198</t>
  </si>
  <si>
    <t>Certs</t>
  </si>
  <si>
    <t>CCHH</t>
  </si>
  <si>
    <t>1/6</t>
  </si>
  <si>
    <t>-2</t>
  </si>
  <si>
    <t>Green Colorstone Emerald : 13.63ct</t>
  </si>
  <si>
    <t>Color Stone</t>
  </si>
  <si>
    <t>Emerald Graduation Necklace</t>
  </si>
  <si>
    <t>Gia</t>
  </si>
  <si>
    <t>F-VVS2</t>
  </si>
  <si>
    <t>Cts : 28.36 / Pcs : 145</t>
  </si>
  <si>
    <t>70</t>
  </si>
  <si>
    <t>E-VS2</t>
  </si>
  <si>
    <t>CSXC</t>
  </si>
  <si>
    <t>E-VS1</t>
  </si>
  <si>
    <t>60</t>
  </si>
  <si>
    <t>D-VS2</t>
  </si>
  <si>
    <t>F-VS2</t>
  </si>
  <si>
    <t>F-VS1</t>
  </si>
  <si>
    <t>40</t>
  </si>
  <si>
    <t>30</t>
  </si>
  <si>
    <t>D-VVS2</t>
  </si>
  <si>
    <t>F-VVS1</t>
  </si>
  <si>
    <t>G-IF</t>
  </si>
  <si>
    <t>Uncert</t>
  </si>
  <si>
    <t>-</t>
  </si>
  <si>
    <t>UZNZ</t>
  </si>
  <si>
    <t>CHDC</t>
  </si>
  <si>
    <t>DDTC</t>
  </si>
  <si>
    <t>UQDU</t>
  </si>
  <si>
    <t>UCCZ</t>
  </si>
  <si>
    <t>UUHC</t>
  </si>
  <si>
    <t>UUUD</t>
  </si>
  <si>
    <t>UUTT</t>
  </si>
  <si>
    <t>UUXU</t>
  </si>
  <si>
    <t>UUSC</t>
  </si>
  <si>
    <t>UZND</t>
  </si>
  <si>
    <t>UUSH</t>
  </si>
  <si>
    <t>CHUQ</t>
  </si>
  <si>
    <t>CHUX</t>
  </si>
  <si>
    <t>CSCC</t>
  </si>
  <si>
    <t>HZZ</t>
  </si>
  <si>
    <t>HCZ</t>
  </si>
  <si>
    <t>HDC</t>
  </si>
  <si>
    <t>QTC</t>
  </si>
  <si>
    <t>TCZ</t>
  </si>
  <si>
    <t>QZC</t>
  </si>
  <si>
    <t>Emerald Braclet (Bz Set)</t>
  </si>
  <si>
    <t>J250000112878</t>
  </si>
  <si>
    <t>Emeralds-Ps-Marquise Brc</t>
  </si>
  <si>
    <t>J250000112857</t>
  </si>
  <si>
    <t>Pears</t>
  </si>
  <si>
    <t>Cts : 10.18/Pcs: 48</t>
  </si>
  <si>
    <t>Marquise</t>
  </si>
  <si>
    <t>CCHD</t>
  </si>
  <si>
    <t>CXXD</t>
  </si>
  <si>
    <t>Emerald Brc (Frame)</t>
  </si>
  <si>
    <t>J250000084448</t>
  </si>
  <si>
    <t>Cts : 11.71/Pcs: 225</t>
  </si>
  <si>
    <t>Buggets</t>
  </si>
  <si>
    <t>CQDC</t>
  </si>
  <si>
    <t>Trapeze Braclet</t>
  </si>
  <si>
    <t>J250000053269</t>
  </si>
  <si>
    <t>GL5720-1</t>
  </si>
  <si>
    <t>Pears Braclet</t>
  </si>
  <si>
    <t>J250000084447</t>
  </si>
  <si>
    <t>Cts :12.63/Pcs: 43</t>
  </si>
  <si>
    <t>CXDC</t>
  </si>
  <si>
    <t>Consignment Packing List of Dhamani Jewellery LLC (Dated : 13 Aug 2026)</t>
  </si>
  <si>
    <t>Note : Orignal Certificates issued, upon confirmation of Item.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</si>
</sst>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&quot;$&quot;#,##0.00"/>
    <numFmt numFmtId="166" formatCode="#,##0.000"/>
    <numFmt numFmtId="167" formatCode="[$$-1009]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mbria"/>
      <family val="1"/>
    </font>
    <font>
      <sz val="9"/>
      <name val="Cambria"/>
      <family val="1"/>
    </font>
    <font>
      <sz val="9"/>
      <color theme="1"/>
      <name val="Cambria"/>
      <family val="1"/>
    </font>
    <font>
      <sz val="9"/>
      <color theme="1" tint="4.9989318521683403E-2"/>
      <name val="Cambria"/>
      <family val="1"/>
    </font>
    <font>
      <u/>
      <sz val="9"/>
      <color rgb="FF0070C0"/>
      <name val="Cambria"/>
      <family val="1"/>
    </font>
    <font>
      <u/>
      <sz val="9"/>
      <color indexed="12"/>
      <name val="Cambria"/>
      <family val="1"/>
    </font>
    <font>
      <u/>
      <sz val="9"/>
      <color theme="10"/>
      <name val="Cambria"/>
      <family val="1"/>
    </font>
    <font>
      <b/>
      <sz val="9"/>
      <name val="Cambria"/>
      <family val="1"/>
    </font>
    <font>
      <b/>
      <sz val="9"/>
      <color theme="1" tint="4.9989318521683403E-2"/>
      <name val="Cambria"/>
      <family val="1"/>
    </font>
    <font>
      <b/>
      <sz val="9"/>
      <color theme="1"/>
      <name val="Cambria"/>
      <family val="1"/>
    </font>
    <font>
      <sz val="9"/>
      <color rgb="FF00B050"/>
      <name val="Cambria"/>
      <family val="1"/>
    </font>
    <font>
      <b/>
      <sz val="9"/>
      <color rgb="FF00B050"/>
      <name val="Cambria"/>
      <family val="1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5" tint="-0.249977111117893"/>
      <name val="Cambria"/>
      <family val="1"/>
    </font>
    <font>
      <sz val="9"/>
      <color rgb="FF00B050"/>
      <name val="Calibri"/>
      <family val="2"/>
      <scheme val="minor"/>
    </font>
    <font>
      <sz val="9"/>
      <color rgb="FF0070C0"/>
      <name val="Cambria"/>
      <family val="1"/>
    </font>
    <font>
      <sz val="9"/>
      <color theme="5" tint="-0.249977111117893"/>
      <name val="Cambria"/>
      <family val="1"/>
    </font>
    <font>
      <sz val="9"/>
      <color rgb="FFFF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3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28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0" fillId="0" borderId="3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165" fontId="11" fillId="0" borderId="1" xfId="0" applyNumberFormat="1" applyFont="1" applyBorder="1" applyAlignment="1" applyProtection="1">
      <alignment horizontal="center" vertical="center"/>
      <protection locked="0"/>
    </xf>
    <xf numFmtId="165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 applyProtection="1">
      <alignment horizontal="center" vertical="center"/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166" fontId="4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1" fontId="6" fillId="0" borderId="1" xfId="0" applyNumberFormat="1" applyFont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165" fontId="6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 vertical="center"/>
      <protection locked="0"/>
    </xf>
    <xf numFmtId="2" fontId="10" fillId="0" borderId="1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/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2" fontId="4" fillId="0" borderId="8" xfId="0" applyNumberFormat="1" applyFont="1" applyBorder="1" applyAlignment="1" applyProtection="1">
      <alignment horizontal="center" vertical="center"/>
      <protection locked="0"/>
    </xf>
    <xf numFmtId="165" fontId="4" fillId="0" borderId="8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 applyProtection="1">
      <alignment horizontal="center" vertical="center"/>
      <protection locked="0"/>
    </xf>
    <xf numFmtId="2" fontId="10" fillId="0" borderId="12" xfId="0" applyNumberFormat="1" applyFont="1" applyBorder="1" applyAlignment="1" applyProtection="1">
      <alignment horizontal="center" vertical="center"/>
      <protection locked="0"/>
    </xf>
    <xf numFmtId="49" fontId="4" fillId="0" borderId="13" xfId="0" applyNumberFormat="1" applyFont="1" applyBorder="1" applyAlignment="1" applyProtection="1">
      <alignment horizontal="left" vertical="center"/>
      <protection locked="0"/>
    </xf>
    <xf numFmtId="164" fontId="6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165" fontId="4" fillId="0" borderId="13" xfId="0" applyNumberFormat="1" applyFont="1" applyBorder="1" applyAlignment="1">
      <alignment horizontal="center" vertical="center"/>
    </xf>
    <xf numFmtId="165" fontId="4" fillId="0" borderId="13" xfId="0" applyNumberFormat="1" applyFont="1" applyBorder="1" applyAlignment="1" applyProtection="1">
      <alignment horizontal="center" vertical="center"/>
      <protection locked="0"/>
    </xf>
    <xf numFmtId="2" fontId="4" fillId="0" borderId="13" xfId="0" applyNumberFormat="1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 applyProtection="1">
      <alignment horizontal="left" vertical="center"/>
      <protection locked="0"/>
    </xf>
    <xf numFmtId="0" fontId="8" fillId="0" borderId="14" xfId="1" applyFont="1" applyFill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49" fontId="6" fillId="0" borderId="14" xfId="0" applyNumberFormat="1" applyFont="1" applyBorder="1" applyAlignment="1" applyProtection="1">
      <alignment horizontal="left" vertical="center"/>
      <protection locked="0"/>
    </xf>
    <xf numFmtId="164" fontId="6" fillId="0" borderId="14" xfId="0" applyNumberFormat="1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2" fontId="4" fillId="0" borderId="14" xfId="0" applyNumberFormat="1" applyFont="1" applyBorder="1" applyAlignment="1" applyProtection="1">
      <alignment horizontal="center" vertical="center"/>
      <protection locked="0"/>
    </xf>
    <xf numFmtId="2" fontId="11" fillId="0" borderId="14" xfId="0" applyNumberFormat="1" applyFont="1" applyBorder="1" applyAlignment="1" applyProtection="1">
      <alignment horizontal="left" vertical="center"/>
      <protection locked="0"/>
    </xf>
    <xf numFmtId="165" fontId="11" fillId="0" borderId="14" xfId="0" applyNumberFormat="1" applyFont="1" applyBorder="1" applyAlignment="1" applyProtection="1">
      <alignment horizontal="center" vertical="center"/>
      <protection locked="0"/>
    </xf>
    <xf numFmtId="165" fontId="4" fillId="0" borderId="14" xfId="0" applyNumberFormat="1" applyFont="1" applyBorder="1" applyAlignment="1">
      <alignment horizontal="center" vertical="center"/>
    </xf>
    <xf numFmtId="165" fontId="4" fillId="0" borderId="14" xfId="0" applyNumberFormat="1" applyFont="1" applyBorder="1" applyAlignment="1" applyProtection="1">
      <alignment horizontal="center" vertical="center"/>
      <protection locked="0"/>
    </xf>
    <xf numFmtId="166" fontId="6" fillId="0" borderId="14" xfId="0" applyNumberFormat="1" applyFont="1" applyBorder="1" applyAlignment="1" applyProtection="1">
      <alignment horizontal="center" vertical="center"/>
      <protection locked="0"/>
    </xf>
    <xf numFmtId="165" fontId="6" fillId="0" borderId="14" xfId="0" applyNumberFormat="1" applyFont="1" applyBorder="1" applyAlignment="1">
      <alignment horizontal="center" vertical="center"/>
    </xf>
    <xf numFmtId="0" fontId="5" fillId="0" borderId="11" xfId="0" applyFont="1" applyBorder="1"/>
    <xf numFmtId="0" fontId="5" fillId="0" borderId="12" xfId="0" applyFont="1" applyBorder="1"/>
    <xf numFmtId="0" fontId="5" fillId="0" borderId="12" xfId="0" applyFont="1" applyBorder="1" applyAlignment="1">
      <alignment horizontal="left"/>
    </xf>
    <xf numFmtId="0" fontId="12" fillId="0" borderId="12" xfId="0" applyFont="1" applyBorder="1"/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49" fontId="4" fillId="0" borderId="3" xfId="0" applyNumberFormat="1" applyFont="1" applyBorder="1" applyAlignment="1" applyProtection="1">
      <alignment horizontal="left" vertical="center"/>
      <protection locked="0"/>
    </xf>
    <xf numFmtId="2" fontId="4" fillId="0" borderId="3" xfId="0" applyNumberFormat="1" applyFont="1" applyBorder="1" applyAlignment="1" applyProtection="1">
      <alignment horizontal="center" vertical="center"/>
      <protection locked="0"/>
    </xf>
    <xf numFmtId="165" fontId="4" fillId="0" borderId="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8" fillId="0" borderId="13" xfId="1" applyFont="1" applyFill="1" applyBorder="1" applyAlignment="1" applyProtection="1">
      <alignment horizontal="center" vertical="center"/>
      <protection locked="0"/>
    </xf>
    <xf numFmtId="2" fontId="10" fillId="0" borderId="13" xfId="0" applyNumberFormat="1" applyFont="1" applyBorder="1" applyAlignment="1" applyProtection="1">
      <alignment horizontal="left" vertical="center"/>
      <protection locked="0"/>
    </xf>
    <xf numFmtId="4" fontId="4" fillId="0" borderId="13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/>
    <xf numFmtId="0" fontId="4" fillId="0" borderId="14" xfId="0" applyFont="1" applyBorder="1" applyAlignment="1" applyProtection="1">
      <alignment horizontal="left" vertical="center"/>
      <protection locked="0"/>
    </xf>
    <xf numFmtId="49" fontId="4" fillId="0" borderId="14" xfId="0" applyNumberFormat="1" applyFont="1" applyBorder="1" applyAlignment="1" applyProtection="1">
      <alignment horizontal="left" vertical="center"/>
      <protection locked="0"/>
    </xf>
    <xf numFmtId="164" fontId="4" fillId="0" borderId="14" xfId="0" applyNumberFormat="1" applyFont="1" applyBorder="1" applyAlignment="1" applyProtection="1">
      <alignment horizontal="center" vertical="center"/>
      <protection locked="0"/>
    </xf>
    <xf numFmtId="2" fontId="10" fillId="0" borderId="14" xfId="0" applyNumberFormat="1" applyFont="1" applyBorder="1" applyAlignment="1" applyProtection="1">
      <alignment horizontal="left" vertical="center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2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49" fontId="4" fillId="0" borderId="12" xfId="0" applyNumberFormat="1" applyFont="1" applyBorder="1" applyAlignment="1" applyProtection="1">
      <alignment horizontal="left" vertical="center"/>
      <protection locked="0"/>
    </xf>
    <xf numFmtId="164" fontId="4" fillId="0" borderId="12" xfId="0" applyNumberFormat="1" applyFont="1" applyBorder="1" applyAlignment="1" applyProtection="1">
      <alignment horizontal="center" vertical="center"/>
      <protection locked="0"/>
    </xf>
    <xf numFmtId="2" fontId="4" fillId="0" borderId="12" xfId="0" applyNumberFormat="1" applyFont="1" applyBorder="1" applyAlignment="1" applyProtection="1">
      <alignment horizontal="center" vertical="center"/>
      <protection locked="0"/>
    </xf>
    <xf numFmtId="2" fontId="10" fillId="0" borderId="12" xfId="0" applyNumberFormat="1" applyFont="1" applyBorder="1" applyAlignment="1" applyProtection="1">
      <alignment horizontal="left" vertical="center"/>
      <protection locked="0"/>
    </xf>
    <xf numFmtId="165" fontId="4" fillId="0" borderId="12" xfId="0" applyNumberFormat="1" applyFont="1" applyBorder="1" applyAlignment="1" applyProtection="1">
      <alignment horizontal="center" vertical="center"/>
      <protection locked="0"/>
    </xf>
    <xf numFmtId="4" fontId="4" fillId="0" borderId="12" xfId="0" applyNumberFormat="1" applyFont="1" applyBorder="1" applyAlignment="1" applyProtection="1">
      <alignment horizontal="center" vertical="center"/>
      <protection locked="0"/>
    </xf>
    <xf numFmtId="166" fontId="4" fillId="0" borderId="3" xfId="0" applyNumberFormat="1" applyFont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166" fontId="4" fillId="0" borderId="14" xfId="0" applyNumberFormat="1" applyFont="1" applyBorder="1" applyAlignment="1" applyProtection="1">
      <alignment horizontal="center" vertical="center"/>
      <protection locked="0"/>
    </xf>
    <xf numFmtId="166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4" fillId="0" borderId="1" xfId="1" applyFont="1" applyFill="1" applyBorder="1" applyAlignment="1" applyProtection="1">
      <alignment horizontal="left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14" xfId="2" applyFont="1" applyBorder="1" applyAlignment="1" applyProtection="1">
      <alignment horizontal="left" vertical="center"/>
      <protection locked="0"/>
    </xf>
    <xf numFmtId="49" fontId="4" fillId="0" borderId="8" xfId="0" applyNumberFormat="1" applyFont="1" applyBorder="1" applyAlignment="1" applyProtection="1">
      <alignment horizontal="left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2" fontId="10" fillId="0" borderId="8" xfId="0" applyNumberFormat="1" applyFont="1" applyBorder="1" applyAlignment="1" applyProtection="1">
      <alignment horizontal="left" vertical="center"/>
      <protection locked="0"/>
    </xf>
    <xf numFmtId="166" fontId="4" fillId="0" borderId="8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5" fillId="0" borderId="20" xfId="0" applyFont="1" applyBorder="1"/>
    <xf numFmtId="0" fontId="4" fillId="0" borderId="20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2" fontId="4" fillId="0" borderId="20" xfId="0" applyNumberFormat="1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left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165" fontId="4" fillId="0" borderId="20" xfId="0" applyNumberFormat="1" applyFont="1" applyBorder="1" applyAlignment="1">
      <alignment horizontal="center" vertical="center"/>
    </xf>
    <xf numFmtId="4" fontId="4" fillId="0" borderId="20" xfId="0" applyNumberFormat="1" applyFont="1" applyBorder="1" applyAlignment="1" applyProtection="1">
      <alignment horizontal="center" vertical="center"/>
      <protection locked="0"/>
    </xf>
    <xf numFmtId="165" fontId="4" fillId="0" borderId="20" xfId="0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left" vertical="center"/>
      <protection locked="0"/>
    </xf>
    <xf numFmtId="0" fontId="7" fillId="0" borderId="3" xfId="1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164" fontId="6" fillId="0" borderId="3" xfId="0" applyNumberFormat="1" applyFont="1" applyBorder="1" applyAlignment="1" applyProtection="1">
      <alignment horizontal="center" vertical="center"/>
      <protection locked="0"/>
    </xf>
    <xf numFmtId="165" fontId="11" fillId="0" borderId="3" xfId="0" applyNumberFormat="1" applyFont="1" applyBorder="1" applyAlignment="1" applyProtection="1">
      <alignment horizontal="center" vertical="center"/>
      <protection locked="0"/>
    </xf>
    <xf numFmtId="165" fontId="4" fillId="0" borderId="3" xfId="0" applyNumberFormat="1" applyFont="1" applyBorder="1" applyAlignment="1">
      <alignment horizontal="center" vertical="center"/>
    </xf>
    <xf numFmtId="0" fontId="10" fillId="0" borderId="19" xfId="0" applyFont="1" applyBorder="1" applyAlignment="1" applyProtection="1">
      <alignment horizontal="center" vertical="center"/>
      <protection locked="0"/>
    </xf>
    <xf numFmtId="49" fontId="10" fillId="0" borderId="20" xfId="0" applyNumberFormat="1" applyFont="1" applyBorder="1" applyAlignment="1" applyProtection="1">
      <alignment horizontal="center" vertical="center"/>
      <protection locked="0"/>
    </xf>
    <xf numFmtId="164" fontId="10" fillId="0" borderId="20" xfId="0" applyNumberFormat="1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vertical="center"/>
      <protection locked="0"/>
    </xf>
    <xf numFmtId="165" fontId="10" fillId="0" borderId="20" xfId="0" applyNumberFormat="1" applyFont="1" applyBorder="1" applyAlignment="1">
      <alignment horizontal="center" vertical="center"/>
    </xf>
    <xf numFmtId="165" fontId="10" fillId="0" borderId="20" xfId="0" applyNumberFormat="1" applyFont="1" applyBorder="1" applyAlignment="1" applyProtection="1">
      <alignment horizontal="center" vertical="center"/>
      <protection locked="0"/>
    </xf>
    <xf numFmtId="2" fontId="10" fillId="0" borderId="20" xfId="0" applyNumberFormat="1" applyFont="1" applyBorder="1" applyAlignment="1" applyProtection="1">
      <alignment horizontal="center" vertical="center"/>
      <protection locked="0"/>
    </xf>
    <xf numFmtId="4" fontId="10" fillId="0" borderId="20" xfId="0" applyNumberFormat="1" applyFont="1" applyBorder="1" applyAlignment="1" applyProtection="1">
      <alignment horizontal="center" vertical="center"/>
      <protection locked="0"/>
    </xf>
    <xf numFmtId="165" fontId="10" fillId="0" borderId="21" xfId="0" applyNumberFormat="1" applyFont="1" applyBorder="1" applyAlignment="1">
      <alignment horizontal="center" vertical="center"/>
    </xf>
    <xf numFmtId="165" fontId="13" fillId="0" borderId="6" xfId="0" applyNumberFormat="1" applyFont="1" applyBorder="1" applyAlignment="1" applyProtection="1">
      <alignment horizontal="center" vertical="center"/>
      <protection locked="0"/>
    </xf>
    <xf numFmtId="0" fontId="13" fillId="0" borderId="10" xfId="0" applyFont="1" applyBorder="1"/>
    <xf numFmtId="165" fontId="13" fillId="0" borderId="16" xfId="0" applyNumberFormat="1" applyFont="1" applyBorder="1" applyAlignment="1" applyProtection="1">
      <alignment horizontal="center" vertical="center"/>
      <protection locked="0"/>
    </xf>
    <xf numFmtId="165" fontId="13" fillId="0" borderId="18" xfId="0" applyNumberFormat="1" applyFont="1" applyBorder="1" applyAlignment="1" applyProtection="1">
      <alignment horizontal="center" vertical="center"/>
      <protection locked="0"/>
    </xf>
    <xf numFmtId="165" fontId="13" fillId="0" borderId="10" xfId="0" applyNumberFormat="1" applyFont="1" applyBorder="1" applyAlignment="1" applyProtection="1">
      <alignment horizontal="center" vertical="center"/>
      <protection locked="0"/>
    </xf>
    <xf numFmtId="165" fontId="14" fillId="0" borderId="4" xfId="0" applyNumberFormat="1" applyFont="1" applyBorder="1" applyAlignment="1">
      <alignment horizontal="center" vertical="center"/>
    </xf>
    <xf numFmtId="165" fontId="14" fillId="0" borderId="6" xfId="0" applyNumberFormat="1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165" fontId="14" fillId="0" borderId="16" xfId="0" applyNumberFormat="1" applyFont="1" applyBorder="1" applyAlignment="1" applyProtection="1">
      <alignment horizontal="center" vertical="center"/>
      <protection locked="0"/>
    </xf>
    <xf numFmtId="165" fontId="14" fillId="0" borderId="18" xfId="0" applyNumberFormat="1" applyFont="1" applyBorder="1" applyAlignment="1" applyProtection="1">
      <alignment horizontal="center" vertical="center"/>
      <protection locked="0"/>
    </xf>
    <xf numFmtId="165" fontId="14" fillId="0" borderId="9" xfId="0" applyNumberFormat="1" applyFont="1" applyBorder="1" applyAlignment="1" applyProtection="1">
      <alignment horizontal="center" vertical="center"/>
      <protection locked="0"/>
    </xf>
    <xf numFmtId="165" fontId="14" fillId="0" borderId="21" xfId="0" applyNumberFormat="1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167" fontId="10" fillId="0" borderId="13" xfId="0" applyNumberFormat="1" applyFont="1" applyBorder="1" applyAlignment="1" applyProtection="1">
      <alignment horizontal="center" vertical="center"/>
      <protection locked="0"/>
    </xf>
    <xf numFmtId="167" fontId="10" fillId="0" borderId="14" xfId="0" applyNumberFormat="1" applyFont="1" applyBorder="1" applyAlignment="1" applyProtection="1">
      <alignment horizontal="center" vertical="center"/>
      <protection locked="0"/>
    </xf>
    <xf numFmtId="167" fontId="10" fillId="0" borderId="12" xfId="0" applyNumberFormat="1" applyFont="1" applyBorder="1" applyAlignment="1" applyProtection="1">
      <alignment horizontal="center" vertical="center"/>
      <protection locked="0"/>
    </xf>
    <xf numFmtId="167" fontId="10" fillId="0" borderId="1" xfId="0" applyNumberFormat="1" applyFont="1" applyBorder="1" applyAlignment="1" applyProtection="1">
      <alignment horizontal="center" vertical="center"/>
      <protection locked="0"/>
    </xf>
    <xf numFmtId="167" fontId="10" fillId="0" borderId="8" xfId="0" applyNumberFormat="1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left" vertical="center"/>
      <protection locked="0"/>
    </xf>
    <xf numFmtId="167" fontId="10" fillId="0" borderId="25" xfId="0" applyNumberFormat="1" applyFont="1" applyBorder="1" applyAlignment="1" applyProtection="1">
      <alignment horizontal="center" vertical="center"/>
      <protection locked="0"/>
    </xf>
    <xf numFmtId="0" fontId="10" fillId="0" borderId="12" xfId="0" applyFont="1" applyBorder="1"/>
    <xf numFmtId="0" fontId="15" fillId="0" borderId="12" xfId="0" applyFont="1" applyBorder="1"/>
    <xf numFmtId="2" fontId="10" fillId="0" borderId="13" xfId="0" applyNumberFormat="1" applyFont="1" applyBorder="1" applyAlignment="1" applyProtection="1">
      <alignment horizontal="center" vertical="center"/>
      <protection locked="0"/>
    </xf>
    <xf numFmtId="2" fontId="10" fillId="0" borderId="14" xfId="0" applyNumberFormat="1" applyFont="1" applyBorder="1" applyAlignment="1" applyProtection="1">
      <alignment horizontal="center" vertical="center"/>
      <protection locked="0"/>
    </xf>
    <xf numFmtId="2" fontId="10" fillId="0" borderId="25" xfId="0" applyNumberFormat="1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left" vertical="center"/>
      <protection locked="0"/>
    </xf>
    <xf numFmtId="0" fontId="16" fillId="0" borderId="0" xfId="0" applyFont="1"/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16" fillId="0" borderId="27" xfId="0" applyFont="1" applyBorder="1"/>
    <xf numFmtId="0" fontId="16" fillId="0" borderId="28" xfId="0" applyFont="1" applyBorder="1"/>
    <xf numFmtId="167" fontId="14" fillId="0" borderId="9" xfId="0" applyNumberFormat="1" applyFont="1" applyBorder="1" applyAlignment="1" applyProtection="1">
      <alignment horizontal="center" vertical="center"/>
      <protection locked="0"/>
    </xf>
    <xf numFmtId="165" fontId="14" fillId="0" borderId="33" xfId="0" applyNumberFormat="1" applyFont="1" applyBorder="1" applyAlignment="1">
      <alignment horizontal="center" vertical="center"/>
    </xf>
    <xf numFmtId="165" fontId="14" fillId="2" borderId="33" xfId="0" applyNumberFormat="1" applyFont="1" applyFill="1" applyBorder="1" applyAlignment="1">
      <alignment horizontal="center" vertical="center"/>
    </xf>
    <xf numFmtId="165" fontId="14" fillId="3" borderId="18" xfId="0" applyNumberFormat="1" applyFont="1" applyFill="1" applyBorder="1" applyAlignment="1">
      <alignment horizontal="center" vertical="center"/>
    </xf>
    <xf numFmtId="165" fontId="14" fillId="2" borderId="18" xfId="0" applyNumberFormat="1" applyFont="1" applyFill="1" applyBorder="1" applyAlignment="1">
      <alignment horizontal="center" vertical="center"/>
    </xf>
    <xf numFmtId="167" fontId="14" fillId="0" borderId="18" xfId="0" applyNumberFormat="1" applyFont="1" applyBorder="1" applyAlignment="1" applyProtection="1">
      <alignment horizontal="center" vertical="center"/>
      <protection locked="0"/>
    </xf>
    <xf numFmtId="167" fontId="14" fillId="0" borderId="21" xfId="0" applyNumberFormat="1" applyFont="1" applyBorder="1" applyAlignment="1" applyProtection="1">
      <alignment horizontal="center" vertical="center"/>
      <protection locked="0"/>
    </xf>
    <xf numFmtId="165" fontId="14" fillId="0" borderId="31" xfId="0" applyNumberFormat="1" applyFont="1" applyBorder="1" applyAlignment="1">
      <alignment horizontal="center" vertical="center"/>
    </xf>
    <xf numFmtId="167" fontId="10" fillId="0" borderId="30" xfId="0" applyNumberFormat="1" applyFont="1" applyBorder="1" applyAlignment="1" applyProtection="1">
      <alignment horizontal="center" vertical="center"/>
      <protection locked="0"/>
    </xf>
    <xf numFmtId="2" fontId="10" fillId="0" borderId="8" xfId="0" applyNumberFormat="1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49" fontId="4" fillId="0" borderId="20" xfId="0" applyNumberFormat="1" applyFont="1" applyBorder="1" applyAlignment="1" applyProtection="1">
      <alignment horizontal="left" vertical="center"/>
      <protection locked="0"/>
    </xf>
    <xf numFmtId="164" fontId="4" fillId="0" borderId="20" xfId="0" applyNumberFormat="1" applyFont="1" applyBorder="1" applyAlignment="1" applyProtection="1">
      <alignment horizontal="center" vertical="center"/>
      <protection locked="0"/>
    </xf>
    <xf numFmtId="165" fontId="4" fillId="0" borderId="21" xfId="0" applyNumberFormat="1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left" vertical="center"/>
      <protection locked="0"/>
    </xf>
    <xf numFmtId="0" fontId="7" fillId="0" borderId="30" xfId="1" applyFont="1" applyFill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49" fontId="6" fillId="0" borderId="30" xfId="0" applyNumberFormat="1" applyFont="1" applyBorder="1" applyAlignment="1" applyProtection="1">
      <alignment horizontal="left" vertical="center"/>
      <protection locked="0"/>
    </xf>
    <xf numFmtId="2" fontId="4" fillId="0" borderId="30" xfId="0" applyNumberFormat="1" applyFont="1" applyBorder="1" applyAlignment="1" applyProtection="1">
      <alignment horizontal="center" vertical="center"/>
      <protection locked="0"/>
    </xf>
    <xf numFmtId="2" fontId="6" fillId="0" borderId="30" xfId="0" applyNumberFormat="1" applyFont="1" applyBorder="1" applyAlignment="1" applyProtection="1">
      <alignment horizontal="left" vertical="center"/>
      <protection locked="0"/>
    </xf>
    <xf numFmtId="165" fontId="4" fillId="0" borderId="30" xfId="0" applyNumberFormat="1" applyFont="1" applyBorder="1" applyAlignment="1">
      <alignment horizontal="center" vertical="center"/>
    </xf>
    <xf numFmtId="165" fontId="4" fillId="0" borderId="30" xfId="0" applyNumberFormat="1" applyFont="1" applyBorder="1" applyAlignment="1" applyProtection="1">
      <alignment horizontal="center" vertical="center"/>
      <protection locked="0"/>
    </xf>
    <xf numFmtId="4" fontId="4" fillId="0" borderId="30" xfId="0" applyNumberFormat="1" applyFont="1" applyBorder="1" applyAlignment="1" applyProtection="1">
      <alignment horizontal="center" vertical="center"/>
      <protection locked="0"/>
    </xf>
    <xf numFmtId="165" fontId="6" fillId="0" borderId="30" xfId="0" applyNumberFormat="1" applyFont="1" applyBorder="1" applyAlignment="1">
      <alignment horizontal="center" vertical="center"/>
    </xf>
    <xf numFmtId="165" fontId="6" fillId="0" borderId="30" xfId="0" applyNumberFormat="1" applyFont="1" applyBorder="1" applyAlignment="1" applyProtection="1">
      <alignment horizontal="center" vertical="center"/>
      <protection locked="0"/>
    </xf>
    <xf numFmtId="0" fontId="16" fillId="0" borderId="12" xfId="0" applyFont="1" applyBorder="1"/>
    <xf numFmtId="0" fontId="7" fillId="0" borderId="12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2" fontId="4" fillId="0" borderId="12" xfId="0" applyNumberFormat="1" applyFont="1" applyBorder="1" applyAlignment="1" applyProtection="1">
      <alignment horizontal="left" vertical="center"/>
      <protection locked="0"/>
    </xf>
    <xf numFmtId="165" fontId="4" fillId="0" borderId="12" xfId="0" applyNumberFormat="1" applyFont="1" applyBorder="1" applyAlignment="1">
      <alignment horizontal="center" vertical="center"/>
    </xf>
    <xf numFmtId="167" fontId="4" fillId="0" borderId="12" xfId="0" applyNumberFormat="1" applyFont="1" applyBorder="1" applyAlignment="1" applyProtection="1">
      <alignment horizontal="center" vertical="center"/>
      <protection locked="0"/>
    </xf>
    <xf numFmtId="0" fontId="6" fillId="2" borderId="32" xfId="0" applyFont="1" applyFill="1" applyBorder="1" applyAlignment="1">
      <alignment horizontal="center" vertical="center"/>
    </xf>
    <xf numFmtId="0" fontId="16" fillId="0" borderId="25" xfId="0" applyFont="1" applyBorder="1"/>
    <xf numFmtId="0" fontId="4" fillId="0" borderId="25" xfId="0" applyFont="1" applyBorder="1" applyAlignment="1" applyProtection="1">
      <alignment horizontal="left" vertical="center"/>
      <protection locked="0"/>
    </xf>
    <xf numFmtId="0" fontId="7" fillId="0" borderId="25" xfId="1" applyFont="1" applyFill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left" vertical="center"/>
      <protection locked="0"/>
    </xf>
    <xf numFmtId="49" fontId="4" fillId="0" borderId="25" xfId="0" applyNumberFormat="1" applyFont="1" applyBorder="1" applyAlignment="1" applyProtection="1">
      <alignment horizontal="left" vertical="center"/>
      <protection locked="0"/>
    </xf>
    <xf numFmtId="2" fontId="4" fillId="0" borderId="25" xfId="0" applyNumberFormat="1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2" fontId="4" fillId="0" borderId="25" xfId="0" applyNumberFormat="1" applyFont="1" applyBorder="1" applyAlignment="1" applyProtection="1">
      <alignment horizontal="left" vertical="center"/>
      <protection locked="0"/>
    </xf>
    <xf numFmtId="165" fontId="4" fillId="0" borderId="25" xfId="0" applyNumberFormat="1" applyFont="1" applyBorder="1" applyAlignment="1">
      <alignment horizontal="center" vertical="center"/>
    </xf>
    <xf numFmtId="165" fontId="4" fillId="0" borderId="25" xfId="0" applyNumberFormat="1" applyFont="1" applyBorder="1" applyAlignment="1" applyProtection="1">
      <alignment horizontal="center" vertical="center"/>
      <protection locked="0"/>
    </xf>
    <xf numFmtId="4" fontId="4" fillId="0" borderId="25" xfId="0" applyNumberFormat="1" applyFont="1" applyBorder="1" applyAlignment="1" applyProtection="1">
      <alignment horizontal="center" vertical="center"/>
      <protection locked="0"/>
    </xf>
    <xf numFmtId="167" fontId="4" fillId="0" borderId="25" xfId="0" applyNumberFormat="1" applyFont="1" applyBorder="1" applyAlignment="1" applyProtection="1">
      <alignment horizontal="center" vertical="center"/>
      <protection locked="0"/>
    </xf>
    <xf numFmtId="167" fontId="13" fillId="0" borderId="10" xfId="0" applyNumberFormat="1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16" fillId="0" borderId="25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7" fillId="0" borderId="12" xfId="1" applyFont="1" applyFill="1" applyBorder="1" applyAlignment="1" applyProtection="1">
      <alignment horizontal="center" vertical="center"/>
      <protection locked="0"/>
    </xf>
    <xf numFmtId="0" fontId="16" fillId="0" borderId="13" xfId="0" applyFont="1" applyBorder="1"/>
    <xf numFmtId="0" fontId="7" fillId="0" borderId="13" xfId="1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2" fontId="4" fillId="0" borderId="13" xfId="0" applyNumberFormat="1" applyFont="1" applyBorder="1" applyAlignment="1" applyProtection="1">
      <alignment horizontal="left" vertical="center"/>
      <protection locked="0"/>
    </xf>
    <xf numFmtId="167" fontId="4" fillId="0" borderId="13" xfId="0" applyNumberFormat="1" applyFont="1" applyBorder="1" applyAlignment="1" applyProtection="1">
      <alignment horizontal="center" vertical="center"/>
      <protection locked="0"/>
    </xf>
    <xf numFmtId="165" fontId="13" fillId="3" borderId="16" xfId="0" applyNumberFormat="1" applyFont="1" applyFill="1" applyBorder="1" applyAlignment="1">
      <alignment horizontal="center" vertical="center"/>
    </xf>
    <xf numFmtId="0" fontId="16" fillId="0" borderId="1" xfId="0" applyFont="1" applyBorder="1"/>
    <xf numFmtId="0" fontId="7" fillId="0" borderId="1" xfId="0" applyFont="1" applyBorder="1" applyAlignment="1" applyProtection="1">
      <alignment horizontal="center" vertical="center"/>
      <protection locked="0"/>
    </xf>
    <xf numFmtId="2" fontId="4" fillId="0" borderId="1" xfId="0" applyNumberFormat="1" applyFont="1" applyBorder="1" applyAlignment="1" applyProtection="1">
      <alignment horizontal="left" vertical="center"/>
      <protection locked="0"/>
    </xf>
    <xf numFmtId="167" fontId="4" fillId="0" borderId="1" xfId="0" applyNumberFormat="1" applyFont="1" applyBorder="1" applyAlignment="1" applyProtection="1">
      <alignment horizontal="center" vertical="center"/>
      <protection locked="0"/>
    </xf>
    <xf numFmtId="165" fontId="13" fillId="2" borderId="6" xfId="0" applyNumberFormat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6" fillId="0" borderId="14" xfId="0" applyFont="1" applyBorder="1"/>
    <xf numFmtId="0" fontId="7" fillId="0" borderId="14" xfId="0" applyFont="1" applyBorder="1" applyAlignment="1" applyProtection="1">
      <alignment horizontal="center" vertical="center"/>
      <protection locked="0"/>
    </xf>
    <xf numFmtId="2" fontId="4" fillId="0" borderId="14" xfId="0" applyNumberFormat="1" applyFont="1" applyBorder="1" applyAlignment="1" applyProtection="1">
      <alignment horizontal="left" vertical="center"/>
      <protection locked="0"/>
    </xf>
    <xf numFmtId="167" fontId="4" fillId="0" borderId="14" xfId="0" applyNumberFormat="1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>
      <alignment horizontal="center" vertical="center"/>
    </xf>
    <xf numFmtId="49" fontId="6" fillId="0" borderId="25" xfId="0" applyNumberFormat="1" applyFont="1" applyBorder="1" applyAlignment="1" applyProtection="1">
      <alignment horizontal="left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2" fontId="6" fillId="0" borderId="25" xfId="0" applyNumberFormat="1" applyFont="1" applyBorder="1" applyAlignment="1" applyProtection="1">
      <alignment horizontal="left" vertical="center"/>
      <protection locked="0"/>
    </xf>
    <xf numFmtId="164" fontId="6" fillId="0" borderId="25" xfId="0" applyNumberFormat="1" applyFont="1" applyBorder="1" applyAlignment="1" applyProtection="1">
      <alignment horizontal="center" vertical="center"/>
      <protection locked="0"/>
    </xf>
    <xf numFmtId="166" fontId="6" fillId="0" borderId="25" xfId="0" applyNumberFormat="1" applyFont="1" applyBorder="1" applyAlignment="1" applyProtection="1">
      <alignment horizontal="center" vertical="center"/>
      <protection locked="0"/>
    </xf>
    <xf numFmtId="165" fontId="6" fillId="0" borderId="25" xfId="0" applyNumberFormat="1" applyFont="1" applyBorder="1" applyAlignment="1">
      <alignment horizontal="center" vertical="center"/>
    </xf>
    <xf numFmtId="165" fontId="6" fillId="0" borderId="25" xfId="0" applyNumberFormat="1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center"/>
    </xf>
    <xf numFmtId="165" fontId="5" fillId="0" borderId="12" xfId="0" applyNumberFormat="1" applyFont="1" applyBorder="1"/>
    <xf numFmtId="0" fontId="6" fillId="2" borderId="15" xfId="0" applyFont="1" applyFill="1" applyBorder="1" applyAlignment="1">
      <alignment horizontal="center" vertical="center"/>
    </xf>
    <xf numFmtId="165" fontId="13" fillId="2" borderId="16" xfId="0" applyNumberFormat="1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>
      <alignment horizontal="center" vertical="center"/>
    </xf>
    <xf numFmtId="49" fontId="6" fillId="0" borderId="12" xfId="0" applyNumberFormat="1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2" fontId="6" fillId="0" borderId="12" xfId="0" applyNumberFormat="1" applyFont="1" applyBorder="1" applyAlignment="1" applyProtection="1">
      <alignment horizontal="left" vertical="center"/>
      <protection locked="0"/>
    </xf>
    <xf numFmtId="164" fontId="6" fillId="0" borderId="12" xfId="0" applyNumberFormat="1" applyFont="1" applyBorder="1" applyAlignment="1" applyProtection="1">
      <alignment horizontal="center" vertical="center"/>
      <protection locked="0"/>
    </xf>
    <xf numFmtId="166" fontId="6" fillId="0" borderId="12" xfId="0" applyNumberFormat="1" applyFont="1" applyBorder="1" applyAlignment="1" applyProtection="1">
      <alignment horizontal="center" vertical="center"/>
      <protection locked="0"/>
    </xf>
    <xf numFmtId="165" fontId="6" fillId="0" borderId="12" xfId="0" applyNumberFormat="1" applyFont="1" applyBorder="1" applyAlignment="1">
      <alignment horizontal="center" vertical="center"/>
    </xf>
    <xf numFmtId="165" fontId="6" fillId="0" borderId="12" xfId="0" applyNumberFormat="1" applyFont="1" applyBorder="1" applyAlignment="1" applyProtection="1">
      <alignment horizontal="center" vertical="center"/>
      <protection locked="0"/>
    </xf>
    <xf numFmtId="165" fontId="13" fillId="0" borderId="10" xfId="0" applyNumberFormat="1" applyFont="1" applyBorder="1" applyAlignment="1">
      <alignment horizontal="center" vertical="center"/>
    </xf>
    <xf numFmtId="0" fontId="17" fillId="0" borderId="25" xfId="1" applyFont="1" applyFill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center" vertical="center"/>
    </xf>
    <xf numFmtId="49" fontId="6" fillId="0" borderId="13" xfId="0" applyNumberFormat="1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2" fontId="6" fillId="0" borderId="13" xfId="0" applyNumberFormat="1" applyFont="1" applyBorder="1" applyAlignment="1" applyProtection="1">
      <alignment horizontal="left" vertical="center"/>
      <protection locked="0"/>
    </xf>
    <xf numFmtId="165" fontId="6" fillId="0" borderId="13" xfId="0" applyNumberFormat="1" applyFont="1" applyBorder="1" applyAlignment="1" applyProtection="1">
      <alignment horizontal="center" vertical="center"/>
      <protection locked="0"/>
    </xf>
    <xf numFmtId="166" fontId="6" fillId="0" borderId="13" xfId="0" applyNumberFormat="1" applyFont="1" applyBorder="1" applyAlignment="1" applyProtection="1">
      <alignment horizontal="center" vertical="center"/>
      <protection locked="0"/>
    </xf>
    <xf numFmtId="165" fontId="6" fillId="0" borderId="13" xfId="0" applyNumberFormat="1" applyFont="1" applyBorder="1" applyAlignment="1">
      <alignment horizontal="center" vertical="center"/>
    </xf>
    <xf numFmtId="165" fontId="13" fillId="0" borderId="16" xfId="0" applyNumberFormat="1" applyFont="1" applyBorder="1" applyAlignment="1">
      <alignment horizontal="center" vertical="center"/>
    </xf>
    <xf numFmtId="0" fontId="7" fillId="0" borderId="14" xfId="1" applyFont="1" applyFill="1" applyBorder="1" applyAlignment="1" applyProtection="1">
      <alignment horizontal="center" vertical="center"/>
      <protection locked="0"/>
    </xf>
    <xf numFmtId="2" fontId="6" fillId="0" borderId="14" xfId="0" applyNumberFormat="1" applyFont="1" applyBorder="1" applyAlignment="1" applyProtection="1">
      <alignment horizontal="left" vertical="center"/>
      <protection locked="0"/>
    </xf>
    <xf numFmtId="165" fontId="6" fillId="0" borderId="14" xfId="0" applyNumberFormat="1" applyFont="1" applyBorder="1" applyAlignment="1" applyProtection="1">
      <alignment horizontal="center" vertical="center"/>
      <protection locked="0"/>
    </xf>
    <xf numFmtId="0" fontId="16" fillId="0" borderId="11" xfId="0" applyFont="1" applyBorder="1"/>
    <xf numFmtId="165" fontId="16" fillId="0" borderId="12" xfId="0" applyNumberFormat="1" applyFont="1" applyBorder="1"/>
    <xf numFmtId="0" fontId="18" fillId="0" borderId="10" xfId="0" applyFont="1" applyBorder="1"/>
    <xf numFmtId="167" fontId="13" fillId="0" borderId="16" xfId="0" applyNumberFormat="1" applyFont="1" applyBorder="1" applyAlignment="1" applyProtection="1">
      <alignment horizontal="center" vertical="center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167" fontId="13" fillId="0" borderId="6" xfId="0" applyNumberFormat="1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167" fontId="4" fillId="0" borderId="1" xfId="0" applyNumberFormat="1" applyFont="1" applyBorder="1" applyAlignment="1">
      <alignment horizontal="center" vertical="center"/>
    </xf>
    <xf numFmtId="0" fontId="19" fillId="0" borderId="14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20" fillId="0" borderId="13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6" fillId="0" borderId="8" xfId="0" applyFont="1" applyBorder="1"/>
    <xf numFmtId="0" fontId="21" fillId="0" borderId="8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2" fontId="4" fillId="0" borderId="8" xfId="0" applyNumberFormat="1" applyFont="1" applyBorder="1" applyAlignment="1" applyProtection="1">
      <alignment horizontal="left" vertical="center"/>
      <protection locked="0"/>
    </xf>
    <xf numFmtId="167" fontId="4" fillId="0" borderId="8" xfId="0" applyNumberFormat="1" applyFont="1" applyBorder="1" applyAlignment="1" applyProtection="1">
      <alignment horizontal="center" vertical="center"/>
      <protection locked="0"/>
    </xf>
    <xf numFmtId="0" fontId="16" fillId="0" borderId="20" xfId="0" applyFont="1" applyBorder="1"/>
    <xf numFmtId="0" fontId="6" fillId="0" borderId="20" xfId="0" applyFont="1" applyBorder="1" applyAlignment="1" applyProtection="1">
      <alignment horizontal="left" vertical="center"/>
      <protection locked="0"/>
    </xf>
    <xf numFmtId="167" fontId="4" fillId="0" borderId="20" xfId="0" applyNumberFormat="1" applyFont="1" applyBorder="1" applyAlignment="1" applyProtection="1">
      <alignment horizontal="center" vertical="center"/>
      <protection locked="0"/>
    </xf>
  </cellXfs>
  <cellStyles count="3">
    <cellStyle name="Hyperlink" xfId="1" builtinId="8"/>
    <cellStyle name="Normal" xfId="0" builtinId="0"/>
    <cellStyle name="Normal 3" xfId="2" xr:uid="{DAE34877-AF1D-4277-AECB-402AA25C261B}"/>
  </cellStyles>
  <dxfs count="94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B050"/>
        <name val="Cambria"/>
        <family val="1"/>
        <scheme val="none"/>
      </font>
      <numFmt numFmtId="167" formatCode="[$$-1009]#,##0.00"/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7" formatCode="[$$-1009]#,##0.00"/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7" formatCode="[$$-1009]#,##0.00"/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7" formatCode="[$$-1009]#,##0.00"/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4.9989318521683403E-2"/>
        <name val="Cambria"/>
        <family val="1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hair">
          <color auto="1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/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family val="1"/>
      </font>
      <numFmt numFmtId="165" formatCode="&quot;$&quot;#,##0.0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B050"/>
        <name val="Cambria"/>
        <family val="1"/>
        <scheme val="none"/>
      </font>
      <numFmt numFmtId="167" formatCode="[$$-1009]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/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7" formatCode="[$$-1009]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7" formatCode="[$$-1009]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7" formatCode="[$$-1009]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4.9989318521683403E-2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70C0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hair">
          <color auto="1"/>
        </right>
        <top style="hair">
          <color indexed="64"/>
        </top>
        <bottom style="hair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B050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B050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/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4.9989318521683403E-2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4.9989318521683403E-2"/>
        <name val="Cambria"/>
        <family val="1"/>
        <scheme val="none"/>
      </font>
      <numFmt numFmtId="164" formatCode="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mbria"/>
        <family val="1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mbria"/>
        <family val="1"/>
        <scheme val="none"/>
      </font>
      <fill>
        <patternFill patternType="none">
          <fgColor indexed="64"/>
          <bgColor indexed="65"/>
        </patternFill>
      </fill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hair">
          <color auto="1"/>
        </right>
        <top style="medium">
          <color indexed="64"/>
        </top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  <protection locked="0" hidden="0"/>
    </dxf>
    <dxf>
      <border>
        <top style="medium">
          <color indexed="64"/>
        </top>
      </border>
    </dxf>
    <dxf>
      <numFmt numFmtId="165" formatCode="&quot;$&quot;#,##0.00"/>
      <border diagonalUp="0" diagonalDown="0">
        <left style="hair">
          <color auto="1"/>
        </left>
        <right style="hair">
          <color auto="1"/>
        </right>
        <top/>
        <bottom/>
        <vertical style="hair">
          <color auto="1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/>
        <vertical style="hair">
          <color auto="1"/>
        </vertical>
        <horizontal/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338667</xdr:colOff>
      <xdr:row>5</xdr:row>
      <xdr:rowOff>177800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545E871-8379-4169-A81B-C548D23A6BBD}"/>
            </a:ext>
          </a:extLst>
        </xdr:cNvPr>
        <xdr:cNvSpPr txBox="1"/>
      </xdr:nvSpPr>
      <xdr:spPr>
        <a:xfrm>
          <a:off x="3104727" y="9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AE" sz="1100"/>
        </a:p>
      </xdr:txBody>
    </xdr:sp>
    <xdr:clientData/>
  </xdr:oneCellAnchor>
  <xdr:oneCellAnchor>
    <xdr:from>
      <xdr:col>3</xdr:col>
      <xdr:colOff>338667</xdr:colOff>
      <xdr:row>19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48CD17E-BB0A-45CC-A40C-594A3A1BD4E9}"/>
            </a:ext>
          </a:extLst>
        </xdr:cNvPr>
        <xdr:cNvSpPr txBox="1"/>
      </xdr:nvSpPr>
      <xdr:spPr>
        <a:xfrm>
          <a:off x="3104727" y="9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AE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5CC1DF-6F92-4BEF-BDB4-457271B0A70D}" name="Table1" displayName="Table1" ref="A4:T43" totalsRowCount="1" headerRowDxfId="90" dataDxfId="88" totalsRowDxfId="86" headerRowBorderDxfId="89" tableBorderDxfId="87" totalsRowBorderDxfId="85">
  <tableColumns count="20">
    <tableColumn id="1" xr3:uid="{28A9508E-47EA-42F5-968E-B9813EEB386B}" name="Sr" totalsRowFunction="count" dataDxfId="84" totalsRowDxfId="83"/>
    <tableColumn id="2" xr3:uid="{A917D0AB-CA33-4233-955B-76764515396C}" name="Length" dataDxfId="82" totalsRowDxfId="81"/>
    <tableColumn id="3" xr3:uid="{1C37D6AE-C223-4B7B-8CC2-4F9DC7B0FBC0}" name="ITEM" dataDxfId="80" totalsRowDxfId="79"/>
    <tableColumn id="4" xr3:uid="{FF4986FE-AF15-4A17-811A-90E4CEB7FE6D}" name="LAB" dataDxfId="78" totalsRowDxfId="77"/>
    <tableColumn id="5" xr3:uid="{338CA28F-5926-4E25-9D9A-75479A3C7FCD}" name="Cert Number" dataDxfId="76" totalsRowDxfId="75"/>
    <tableColumn id="6" xr3:uid="{4BECF097-67E0-439F-9A44-5AF7A9227FEB}" name="Size Avg." dataDxfId="74" totalsRowDxfId="73"/>
    <tableColumn id="7" xr3:uid="{186D894C-42A8-4725-91C3-D96421C8C457}" name="Avg Pts" dataDxfId="72" totalsRowDxfId="71">
      <calculatedColumnFormula>I5/H5</calculatedColumnFormula>
    </tableColumn>
    <tableColumn id="8" xr3:uid="{0E133FBF-C472-4A47-A38F-4133DEEF79B6}" name="No.Pcs" totalsRowFunction="sum" dataDxfId="70" totalsRowDxfId="69"/>
    <tableColumn id="9" xr3:uid="{0934A4F7-EFBE-43B8-89DE-7CDAB88C4715}" name="Diam Cts" totalsRowFunction="sum" dataDxfId="68" totalsRowDxfId="67"/>
    <tableColumn id="10" xr3:uid="{07F348CD-1AB7-4962-91C1-75C40F606EFB}" name="Col - Clarity" dataDxfId="66" totalsRowDxfId="65"/>
    <tableColumn id="11" xr3:uid="{56C36726-EF1F-4AB3-BEEA-86630FA69352}" name="LOT" dataDxfId="64" totalsRowDxfId="63"/>
    <tableColumn id="12" xr3:uid="{179AF5A6-CF6E-434F-9528-B1CE9712AA50}" name="Per/ct" dataDxfId="62" totalsRowDxfId="61"/>
    <tableColumn id="13" xr3:uid="{BBF1BD8C-318E-4D79-B2EC-C5C08D539E70}" name="Diam Total" totalsRowFunction="sum" dataDxfId="60" totalsRowDxfId="59">
      <calculatedColumnFormula>L5*I5</calculatedColumnFormula>
    </tableColumn>
    <tableColumn id="14" xr3:uid="{96CA6B88-3012-451F-91C8-42D2D1A445E0}" name="Gold+Lab" dataDxfId="58" totalsRowDxfId="57"/>
    <tableColumn id="15" xr3:uid="{E5442D67-BA27-46B1-B92A-7DF7D441BC76}" name="Gross Gm" totalsRowFunction="sum" dataDxfId="56" totalsRowDxfId="55"/>
    <tableColumn id="16" xr3:uid="{ADA38C95-44BD-47DF-8B4F-499F7F52A2B7}" name="Net Gm" totalsRowFunction="sum" dataDxfId="54" totalsRowDxfId="53"/>
    <tableColumn id="17" xr3:uid="{4997B8AA-7C95-460B-9197-B14E269EFDA6}" name="Gold Total" totalsRowFunction="sum" dataDxfId="52" totalsRowDxfId="51"/>
    <tableColumn id="18" xr3:uid="{06567990-C344-4474-8F67-548FFA5DBA52}" name="Diam Settg" totalsRowFunction="sum" dataDxfId="50" totalsRowDxfId="49"/>
    <tableColumn id="19" xr3:uid="{9BAADA4A-FC56-42C6-9A37-D84ED239C299}" name="Cert Exp" totalsRowFunction="sum" dataDxfId="48" totalsRowDxfId="47"/>
    <tableColumn id="20" xr3:uid="{1F5F5FB7-4E0A-4D38-9911-427570E5D37A}" name="Total Amt $" totalsRowFunction="sum" dataDxfId="46" totalsRowDxfId="4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2499184-FF14-4775-B037-9284D0F5F422}" name="Table3" displayName="Table3" ref="A4:U65" totalsRowCount="1" headerRowDxfId="26" dataDxfId="24" totalsRowDxfId="25" headerRowBorderDxfId="93" tableBorderDxfId="92" totalsRowBorderDxfId="91">
  <autoFilter ref="A4:U64" xr:uid="{E2499184-FF14-4775-B037-9284D0F5F422}"/>
  <tableColumns count="21">
    <tableColumn id="1" xr3:uid="{3D91352C-B27C-4970-9963-8EF54224454D}" name="Sr" totalsRowFunction="count" dataDxfId="44" totalsRowDxfId="20"/>
    <tableColumn id="2" xr3:uid="{EEB270DB-1B05-4B3F-93EC-9DF2B5317957}" name="Length" dataDxfId="43" totalsRowDxfId="19"/>
    <tableColumn id="3" xr3:uid="{A9B23BBC-D65F-41BE-A681-24E6CE2C8AD4}" name="ITEM" dataDxfId="42" totalsRowDxfId="18"/>
    <tableColumn id="4" xr3:uid="{35DA62D4-2921-4ACF-8A53-DA95999758CC}" name="LAB" dataDxfId="41" totalsRowDxfId="17"/>
    <tableColumn id="5" xr3:uid="{9E991ED1-DDD8-4F1F-B0AB-13E71B06BB31}" name="Cert Number" dataDxfId="40" totalsRowDxfId="16"/>
    <tableColumn id="6" xr3:uid="{E26D9E6D-F0D2-4A4D-9386-7739C48712F2}" name="Parcel Id" dataDxfId="39" totalsRowDxfId="15"/>
    <tableColumn id="7" xr3:uid="{8C7B3E93-94E7-4B27-8E3A-A36EF422B3B0}" name="Size2" dataDxfId="38" totalsRowDxfId="14"/>
    <tableColumn id="8" xr3:uid="{2DBA723D-70A9-4C46-B2B2-B68E98B9F620}" name="Avg Pts" dataDxfId="37" totalsRowDxfId="13">
      <calculatedColumnFormula>Table3[[#This Row],[Diam Cts]]/Table3[[#This Row],[No.Pcs]]</calculatedColumnFormula>
    </tableColumn>
    <tableColumn id="9" xr3:uid="{75EDBCB9-9D14-49C3-8BF8-AEE478BB2ADD}" name="No.Pcs" totalsRowFunction="sum" dataDxfId="36" totalsRowDxfId="12"/>
    <tableColumn id="10" xr3:uid="{CCD0B278-E2F3-4823-975B-098B624D9A41}" name="Diam Cts" totalsRowFunction="sum" dataDxfId="35" totalsRowDxfId="11"/>
    <tableColumn id="11" xr3:uid="{8820FDE1-1D6F-45D9-B209-0D6333D700D9}" name="Col - Clarity" dataDxfId="34" totalsRowDxfId="10"/>
    <tableColumn id="12" xr3:uid="{74C1FC11-A728-4862-81CC-9BA51A5944E2}" name="LOT" dataDxfId="23" totalsRowDxfId="9"/>
    <tableColumn id="13" xr3:uid="{8805D0C1-BE88-4256-BDC9-555D9D86CFA6}" name="Per/ct2" dataDxfId="21" totalsRowDxfId="8"/>
    <tableColumn id="14" xr3:uid="{3524E26C-029A-4A24-BCF8-577C4257BF6C}" name="Diam Total" totalsRowFunction="sum" dataDxfId="22" totalsRowDxfId="7">
      <calculatedColumnFormula>Table3[[#This Row],[Per/ct2]]*Table3[[#This Row],[Diam Cts]]</calculatedColumnFormula>
    </tableColumn>
    <tableColumn id="15" xr3:uid="{14CEF05D-C6D8-4A78-91B3-B0F67C2979CB}" name="Gold/gm" dataDxfId="33" totalsRowDxfId="6"/>
    <tableColumn id="16" xr3:uid="{3A1FF4A8-638F-46E0-9815-BB127144B4E2}" name="Gross Gm" totalsRowFunction="sum" dataDxfId="32" totalsRowDxfId="5"/>
    <tableColumn id="17" xr3:uid="{F0277DB7-6AFA-4342-B051-24FDFB39F25F}" name="Net Gm" totalsRowFunction="sum" dataDxfId="31" totalsRowDxfId="4"/>
    <tableColumn id="18" xr3:uid="{DD17DCBF-8AD2-4A26-9F3E-AB2E6633404A}" name="Gold Total" totalsRowFunction="sum" dataDxfId="30" totalsRowDxfId="3"/>
    <tableColumn id="19" xr3:uid="{6D9DDC8B-4E3F-450D-8C1A-0C4F02AC2110}" name="Labour" totalsRowFunction="sum" dataDxfId="29" totalsRowDxfId="2"/>
    <tableColumn id="20" xr3:uid="{6DF4FA73-D305-49FB-96E1-65A29AD9A3A1}" name="Cert Exp" totalsRowFunction="sum" dataDxfId="28" totalsRowDxfId="1"/>
    <tableColumn id="21" xr3:uid="{0D0C2779-17F7-427D-BA55-C13853CE3579}" name="Total Amt" totalsRowFunction="sum" dataDxfId="27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ntonia.aspgulf.net/certificate/J240000050287%20EF%20SI%2016.70ct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antonia.aspgulf.net/certificate/J260000049963-47p-8.25ct.pdf" TargetMode="External"/><Relationship Id="rId7" Type="http://schemas.openxmlformats.org/officeDocument/2006/relationships/hyperlink" Target="https://antonia.aspgulf.net/certificate/J250000112877%2012.03ct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antonia.aspgulf.net/certificate/J260000066371%20EF%20VS-SI%206.38ct.pdf" TargetMode="External"/><Relationship Id="rId1" Type="http://schemas.openxmlformats.org/officeDocument/2006/relationships/hyperlink" Target="https://antonia.aspgulf.net/certificate/J260000105039%20EF%20VS-SI%205.85ct.pdf" TargetMode="External"/><Relationship Id="rId6" Type="http://schemas.openxmlformats.org/officeDocument/2006/relationships/hyperlink" Target="https://antonia.aspgulf.net/certificate/J260000049964-42p-9.70ct.pdf" TargetMode="External"/><Relationship Id="rId11" Type="http://schemas.openxmlformats.org/officeDocument/2006/relationships/hyperlink" Target="https://antonia.aspgulf.net/certificate/J250000161740%20151pcs-14.11ct.pdf" TargetMode="External"/><Relationship Id="rId5" Type="http://schemas.openxmlformats.org/officeDocument/2006/relationships/hyperlink" Target="https://antonia.aspgulf.net/certificate/J250000040440%20EF%20VVS-VS%2010.90ct.pdf" TargetMode="External"/><Relationship Id="rId10" Type="http://schemas.openxmlformats.org/officeDocument/2006/relationships/hyperlink" Target="https://antonia.aspgulf.net/certificate/J250000119838%2011.67ct%20EF%20VS-SI.pdf" TargetMode="External"/><Relationship Id="rId4" Type="http://schemas.openxmlformats.org/officeDocument/2006/relationships/hyperlink" Target="https://antonia.aspgulf.net/certificate/J260000049967-46p-8.48ct.pdf" TargetMode="External"/><Relationship Id="rId9" Type="http://schemas.openxmlformats.org/officeDocument/2006/relationships/hyperlink" Target="https://antonia.aspgulf.net/certificate/J240000122222%20E-G%20VS-SI%2020.80ct.pdf" TargetMode="External"/><Relationship Id="rId1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ntonia.aspgulf.net/certificate/J250000112878%2010.21ct.pdf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s://antonia.aspgulf.net/certificate/J250000053267%20EF%20VVS-VS%2013.88ct.pdf" TargetMode="External"/><Relationship Id="rId7" Type="http://schemas.openxmlformats.org/officeDocument/2006/relationships/hyperlink" Target="https://antonia.aspgulf.net/certificate/J240000084814%20EF%20VS%2028.41ct%20Emd%20CS%20Nks.pdf" TargetMode="External"/><Relationship Id="rId12" Type="http://schemas.openxmlformats.org/officeDocument/2006/relationships/hyperlink" Target="https://antonia.aspgulf.net/certificate/J250000084447%20EF%20VS%2012.63ct.pdf" TargetMode="External"/><Relationship Id="rId2" Type="http://schemas.openxmlformats.org/officeDocument/2006/relationships/hyperlink" Target="https://antonia.aspgulf.net/certificate/J250000081112%20EF%20VVS-VS%209.44ct.pdf" TargetMode="External"/><Relationship Id="rId1" Type="http://schemas.openxmlformats.org/officeDocument/2006/relationships/hyperlink" Target="https://antonia.aspgulf.net/certificate/J250000112875%208.30ct.pdf" TargetMode="External"/><Relationship Id="rId6" Type="http://schemas.openxmlformats.org/officeDocument/2006/relationships/hyperlink" Target="https://antonia.aspgulf.net/certificate/Emd%20Nks%20Certs%20used%20in%2026.02ct%20Nks.pdf" TargetMode="External"/><Relationship Id="rId11" Type="http://schemas.openxmlformats.org/officeDocument/2006/relationships/hyperlink" Target="https://antonia.aspgulf.net/certificate/J250000053269%20EF%20VS%209.17ct.pdf" TargetMode="External"/><Relationship Id="rId5" Type="http://schemas.openxmlformats.org/officeDocument/2006/relationships/hyperlink" Target="https://antonia.aspgulf.net/certificate/J250000084446%20EF%20VVS-VS%2023.36ct.pdf" TargetMode="External"/><Relationship Id="rId10" Type="http://schemas.openxmlformats.org/officeDocument/2006/relationships/hyperlink" Target="https://antonia.aspgulf.net/certificate/J250000084448%20EF%20VVS-VS%2011.71ct.pdf" TargetMode="External"/><Relationship Id="rId4" Type="http://schemas.openxmlformats.org/officeDocument/2006/relationships/hyperlink" Target="https://antonia.aspgulf.net/certificate/30s%20Emd%20Brc%2017.00ct-48pcs%20Gia.pdf" TargetMode="External"/><Relationship Id="rId9" Type="http://schemas.openxmlformats.org/officeDocument/2006/relationships/hyperlink" Target="https://antonia.aspgulf.net/certificate/J250000112857%2010.18ct.pdf" TargetMode="External"/><Relationship Id="rId1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3CDDF-F65D-4FD4-9811-CF413CDB9E3D}">
  <dimension ref="A1:T44"/>
  <sheetViews>
    <sheetView zoomScaleNormal="100" workbookViewId="0">
      <pane ySplit="4" topLeftCell="A5" activePane="bottomLeft" state="frozen"/>
      <selection pane="bottomLeft" activeCell="F11" sqref="F11"/>
    </sheetView>
  </sheetViews>
  <sheetFormatPr defaultColWidth="8.88671875" defaultRowHeight="16.95" customHeight="1" x14ac:dyDescent="0.2"/>
  <cols>
    <col min="1" max="1" width="4.5546875" style="1" customWidth="1"/>
    <col min="2" max="2" width="8.5546875" style="1" customWidth="1"/>
    <col min="3" max="3" width="24.5546875" style="1" customWidth="1"/>
    <col min="4" max="4" width="6.6640625" style="1" customWidth="1"/>
    <col min="5" max="5" width="12.6640625" style="1" customWidth="1"/>
    <col min="6" max="6" width="8.109375" style="1" customWidth="1"/>
    <col min="7" max="7" width="6.33203125" style="1" customWidth="1"/>
    <col min="8" max="8" width="5.33203125" style="1" customWidth="1"/>
    <col min="9" max="9" width="6.88671875" style="1" customWidth="1"/>
    <col min="10" max="10" width="9.6640625" style="1" customWidth="1"/>
    <col min="11" max="11" width="6.44140625" style="1" customWidth="1"/>
    <col min="12" max="12" width="9" style="1" bestFit="1" customWidth="1"/>
    <col min="13" max="13" width="10.109375" style="1" customWidth="1"/>
    <col min="14" max="14" width="7.88671875" style="1" customWidth="1"/>
    <col min="15" max="15" width="8" style="1" customWidth="1"/>
    <col min="16" max="16" width="6.6640625" style="1" customWidth="1"/>
    <col min="17" max="17" width="11" style="1" customWidth="1"/>
    <col min="18" max="18" width="9.33203125" style="1" customWidth="1"/>
    <col min="19" max="19" width="9" style="1" customWidth="1"/>
    <col min="20" max="20" width="11.5546875" style="1" customWidth="1"/>
    <col min="21" max="16384" width="8.88671875" style="1"/>
  </cols>
  <sheetData>
    <row r="1" spans="1:20" ht="16.95" customHeight="1" thickBot="1" x14ac:dyDescent="0.25"/>
    <row r="2" spans="1:20" ht="16.95" customHeight="1" thickBot="1" x14ac:dyDescent="0.25">
      <c r="A2" s="171" t="s">
        <v>93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3"/>
    </row>
    <row r="3" spans="1:20" ht="16.95" customHeight="1" thickBot="1" x14ac:dyDescent="0.25">
      <c r="A3" s="171" t="s">
        <v>90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3"/>
    </row>
    <row r="4" spans="1:20" ht="16.95" customHeight="1" thickBot="1" x14ac:dyDescent="0.25">
      <c r="A4" s="121" t="s">
        <v>0</v>
      </c>
      <c r="B4" s="110" t="s">
        <v>1</v>
      </c>
      <c r="C4" s="110" t="s">
        <v>2</v>
      </c>
      <c r="D4" s="110" t="s">
        <v>3</v>
      </c>
      <c r="E4" s="110" t="s">
        <v>4</v>
      </c>
      <c r="F4" s="122" t="s">
        <v>5</v>
      </c>
      <c r="G4" s="123" t="s">
        <v>6</v>
      </c>
      <c r="H4" s="110" t="s">
        <v>7</v>
      </c>
      <c r="I4" s="110" t="s">
        <v>8</v>
      </c>
      <c r="J4" s="124" t="s">
        <v>9</v>
      </c>
      <c r="K4" s="110" t="s">
        <v>10</v>
      </c>
      <c r="L4" s="110" t="s">
        <v>11</v>
      </c>
      <c r="M4" s="125" t="s">
        <v>12</v>
      </c>
      <c r="N4" s="126" t="s">
        <v>13</v>
      </c>
      <c r="O4" s="127" t="s">
        <v>14</v>
      </c>
      <c r="P4" s="128" t="s">
        <v>15</v>
      </c>
      <c r="Q4" s="125" t="s">
        <v>16</v>
      </c>
      <c r="R4" s="125" t="s">
        <v>70</v>
      </c>
      <c r="S4" s="126" t="s">
        <v>17</v>
      </c>
      <c r="T4" s="129" t="s">
        <v>91</v>
      </c>
    </row>
    <row r="5" spans="1:20" ht="16.95" customHeight="1" x14ac:dyDescent="0.2">
      <c r="A5" s="62">
        <v>1</v>
      </c>
      <c r="B5" s="114" t="s">
        <v>85</v>
      </c>
      <c r="C5" s="115" t="s">
        <v>71</v>
      </c>
      <c r="D5" s="116" t="s">
        <v>19</v>
      </c>
      <c r="E5" s="117" t="s">
        <v>20</v>
      </c>
      <c r="F5" s="64" t="s">
        <v>21</v>
      </c>
      <c r="G5" s="118">
        <f>I5/H5</f>
        <v>0.10086206896551723</v>
      </c>
      <c r="H5" s="63">
        <v>58</v>
      </c>
      <c r="I5" s="63">
        <v>5.85</v>
      </c>
      <c r="J5" s="4" t="s">
        <v>22</v>
      </c>
      <c r="K5" s="63" t="s">
        <v>23</v>
      </c>
      <c r="L5" s="119">
        <v>460</v>
      </c>
      <c r="M5" s="120">
        <f>L5*I5</f>
        <v>2691</v>
      </c>
      <c r="N5" s="66">
        <v>124.5</v>
      </c>
      <c r="O5" s="65">
        <v>9.16</v>
      </c>
      <c r="P5" s="87">
        <v>7.99</v>
      </c>
      <c r="Q5" s="120">
        <f>P5*N5</f>
        <v>994.755</v>
      </c>
      <c r="R5" s="120">
        <v>0</v>
      </c>
      <c r="S5" s="66">
        <f>20*I5</f>
        <v>117</v>
      </c>
      <c r="T5" s="135">
        <f>S5+R5+Q5+M5</f>
        <v>3802.7550000000001</v>
      </c>
    </row>
    <row r="6" spans="1:20" ht="16.95" customHeight="1" x14ac:dyDescent="0.2">
      <c r="A6" s="5">
        <v>2</v>
      </c>
      <c r="B6" s="6" t="s">
        <v>86</v>
      </c>
      <c r="C6" s="7" t="s">
        <v>71</v>
      </c>
      <c r="D6" s="18" t="s">
        <v>19</v>
      </c>
      <c r="E6" s="11" t="s">
        <v>24</v>
      </c>
      <c r="F6" s="9" t="s">
        <v>25</v>
      </c>
      <c r="G6" s="10">
        <f>I6/H6</f>
        <v>0.12269230769230768</v>
      </c>
      <c r="H6" s="11">
        <v>52</v>
      </c>
      <c r="I6" s="11">
        <v>6.38</v>
      </c>
      <c r="J6" s="12" t="s">
        <v>22</v>
      </c>
      <c r="K6" s="11" t="s">
        <v>23</v>
      </c>
      <c r="L6" s="13">
        <v>460</v>
      </c>
      <c r="M6" s="14">
        <f t="shared" ref="M6:M17" si="0">L6*I6</f>
        <v>2934.7999999999997</v>
      </c>
      <c r="N6" s="15">
        <v>124.5</v>
      </c>
      <c r="O6" s="16">
        <v>8.98</v>
      </c>
      <c r="P6" s="17">
        <v>7.7039999999999997</v>
      </c>
      <c r="Q6" s="14">
        <f t="shared" ref="Q6:Q17" si="1">P6*N6</f>
        <v>959.14799999999991</v>
      </c>
      <c r="R6" s="14">
        <v>0</v>
      </c>
      <c r="S6" s="15">
        <f>20*I6</f>
        <v>127.6</v>
      </c>
      <c r="T6" s="136">
        <f t="shared" ref="T6:T15" si="2">S6+R6+Q6+M6</f>
        <v>4021.5479999999998</v>
      </c>
    </row>
    <row r="7" spans="1:20" ht="16.95" customHeight="1" x14ac:dyDescent="0.2">
      <c r="A7" s="5"/>
      <c r="B7" s="94"/>
      <c r="C7" s="28"/>
      <c r="D7" s="95"/>
      <c r="E7" s="28"/>
      <c r="F7" s="9"/>
      <c r="G7" s="10"/>
      <c r="H7" s="11"/>
      <c r="I7" s="16"/>
      <c r="J7" s="26"/>
      <c r="K7" s="11"/>
      <c r="L7" s="29"/>
      <c r="M7" s="14"/>
      <c r="N7" s="15"/>
      <c r="O7" s="16"/>
      <c r="P7" s="19"/>
      <c r="Q7" s="15"/>
      <c r="R7" s="15"/>
      <c r="S7" s="15"/>
      <c r="T7" s="130"/>
    </row>
    <row r="8" spans="1:20" ht="16.95" customHeight="1" x14ac:dyDescent="0.2">
      <c r="A8" s="5">
        <v>3</v>
      </c>
      <c r="B8" s="6" t="s">
        <v>86</v>
      </c>
      <c r="C8" s="7" t="s">
        <v>72</v>
      </c>
      <c r="D8" s="18" t="s">
        <v>19</v>
      </c>
      <c r="E8" s="11" t="s">
        <v>26</v>
      </c>
      <c r="F8" s="9" t="s">
        <v>27</v>
      </c>
      <c r="G8" s="10">
        <f>I8/H8</f>
        <v>0.17553191489361702</v>
      </c>
      <c r="H8" s="11">
        <v>47</v>
      </c>
      <c r="I8" s="11">
        <v>8.25</v>
      </c>
      <c r="J8" s="12" t="s">
        <v>28</v>
      </c>
      <c r="K8" s="11" t="s">
        <v>29</v>
      </c>
      <c r="L8" s="13">
        <v>525</v>
      </c>
      <c r="M8" s="14">
        <f t="shared" si="0"/>
        <v>4331.25</v>
      </c>
      <c r="N8" s="15">
        <v>124.5</v>
      </c>
      <c r="O8" s="16">
        <v>11.61</v>
      </c>
      <c r="P8" s="19">
        <v>9.9600000000000009</v>
      </c>
      <c r="Q8" s="14">
        <f t="shared" si="1"/>
        <v>1240.0200000000002</v>
      </c>
      <c r="R8" s="14">
        <v>0</v>
      </c>
      <c r="S8" s="15">
        <f>20*I8</f>
        <v>165</v>
      </c>
      <c r="T8" s="136">
        <f t="shared" si="2"/>
        <v>5736.27</v>
      </c>
    </row>
    <row r="9" spans="1:20" ht="16.95" customHeight="1" x14ac:dyDescent="0.2">
      <c r="A9" s="5">
        <v>4</v>
      </c>
      <c r="B9" s="6" t="s">
        <v>87</v>
      </c>
      <c r="C9" s="7" t="s">
        <v>72</v>
      </c>
      <c r="D9" s="18" t="s">
        <v>19</v>
      </c>
      <c r="E9" s="11" t="s">
        <v>30</v>
      </c>
      <c r="F9" s="9" t="s">
        <v>31</v>
      </c>
      <c r="G9" s="10">
        <f>I9/H9</f>
        <v>0.18434782608695652</v>
      </c>
      <c r="H9" s="11">
        <v>46</v>
      </c>
      <c r="I9" s="16">
        <v>8.48</v>
      </c>
      <c r="J9" s="12" t="s">
        <v>32</v>
      </c>
      <c r="K9" s="11" t="s">
        <v>23</v>
      </c>
      <c r="L9" s="13">
        <v>500</v>
      </c>
      <c r="M9" s="14">
        <f t="shared" si="0"/>
        <v>4240</v>
      </c>
      <c r="N9" s="15">
        <v>124.5</v>
      </c>
      <c r="O9" s="16">
        <v>11.4</v>
      </c>
      <c r="P9" s="17">
        <v>9.7040000000000006</v>
      </c>
      <c r="Q9" s="14">
        <f t="shared" si="1"/>
        <v>1208.1480000000001</v>
      </c>
      <c r="R9" s="14">
        <v>0</v>
      </c>
      <c r="S9" s="15">
        <f>20*I9</f>
        <v>169.60000000000002</v>
      </c>
      <c r="T9" s="136">
        <f t="shared" si="2"/>
        <v>5617.7479999999996</v>
      </c>
    </row>
    <row r="10" spans="1:20" ht="16.95" customHeight="1" x14ac:dyDescent="0.2">
      <c r="A10" s="5"/>
      <c r="B10" s="94"/>
      <c r="C10" s="28"/>
      <c r="D10" s="95"/>
      <c r="E10" s="28"/>
      <c r="F10" s="9"/>
      <c r="G10" s="10"/>
      <c r="H10" s="11"/>
      <c r="I10" s="16"/>
      <c r="J10" s="26"/>
      <c r="K10" s="11"/>
      <c r="L10" s="29"/>
      <c r="M10" s="14"/>
      <c r="N10" s="15"/>
      <c r="O10" s="16"/>
      <c r="P10" s="19"/>
      <c r="Q10" s="15"/>
      <c r="R10" s="15"/>
      <c r="S10" s="15"/>
      <c r="T10" s="130"/>
    </row>
    <row r="11" spans="1:20" ht="16.95" customHeight="1" x14ac:dyDescent="0.2">
      <c r="A11" s="5">
        <v>5</v>
      </c>
      <c r="B11" s="6" t="s">
        <v>86</v>
      </c>
      <c r="C11" s="7" t="s">
        <v>71</v>
      </c>
      <c r="D11" s="18" t="s">
        <v>19</v>
      </c>
      <c r="E11" s="11" t="s">
        <v>34</v>
      </c>
      <c r="F11" s="20" t="s">
        <v>36</v>
      </c>
      <c r="G11" s="10">
        <f>I11/H11</f>
        <v>0.23095238095238094</v>
      </c>
      <c r="H11" s="11">
        <v>42</v>
      </c>
      <c r="I11" s="16">
        <v>9.6999999999999993</v>
      </c>
      <c r="J11" s="12" t="s">
        <v>22</v>
      </c>
      <c r="K11" s="11" t="s">
        <v>33</v>
      </c>
      <c r="L11" s="13">
        <v>575</v>
      </c>
      <c r="M11" s="14">
        <f t="shared" si="0"/>
        <v>5577.5</v>
      </c>
      <c r="N11" s="15">
        <v>124.5</v>
      </c>
      <c r="O11" s="16">
        <v>11.31</v>
      </c>
      <c r="P11" s="19">
        <v>9.3699999999999992</v>
      </c>
      <c r="Q11" s="14">
        <f t="shared" si="1"/>
        <v>1166.5649999999998</v>
      </c>
      <c r="R11" s="14">
        <v>0</v>
      </c>
      <c r="S11" s="15">
        <f>20*I11</f>
        <v>194</v>
      </c>
      <c r="T11" s="136">
        <f t="shared" si="2"/>
        <v>6938.0649999999996</v>
      </c>
    </row>
    <row r="12" spans="1:20" ht="16.95" customHeight="1" x14ac:dyDescent="0.2">
      <c r="A12" s="21">
        <v>6</v>
      </c>
      <c r="B12" s="6" t="s">
        <v>86</v>
      </c>
      <c r="C12" s="7" t="s">
        <v>71</v>
      </c>
      <c r="D12" s="18" t="s">
        <v>19</v>
      </c>
      <c r="E12" s="8" t="s">
        <v>35</v>
      </c>
      <c r="F12" s="20" t="s">
        <v>36</v>
      </c>
      <c r="G12" s="10">
        <f>I12/H12</f>
        <v>0.25348837209302327</v>
      </c>
      <c r="H12" s="22">
        <v>43</v>
      </c>
      <c r="I12" s="23">
        <v>10.9</v>
      </c>
      <c r="J12" s="24" t="s">
        <v>37</v>
      </c>
      <c r="K12" s="8" t="s">
        <v>73</v>
      </c>
      <c r="L12" s="13">
        <v>625</v>
      </c>
      <c r="M12" s="14">
        <f t="shared" si="0"/>
        <v>6812.5</v>
      </c>
      <c r="N12" s="15">
        <v>124.5</v>
      </c>
      <c r="O12" s="23">
        <v>12.37</v>
      </c>
      <c r="P12" s="10">
        <v>10.19</v>
      </c>
      <c r="Q12" s="14">
        <f t="shared" si="1"/>
        <v>1268.655</v>
      </c>
      <c r="R12" s="25">
        <v>0</v>
      </c>
      <c r="S12" s="15">
        <f>20*I12</f>
        <v>218</v>
      </c>
      <c r="T12" s="136">
        <f t="shared" si="2"/>
        <v>8299.1550000000007</v>
      </c>
    </row>
    <row r="13" spans="1:20" ht="16.95" customHeight="1" x14ac:dyDescent="0.2">
      <c r="A13" s="5"/>
      <c r="B13" s="94"/>
      <c r="C13" s="28"/>
      <c r="D13" s="95"/>
      <c r="E13" s="28"/>
      <c r="F13" s="9"/>
      <c r="G13" s="10"/>
      <c r="H13" s="96"/>
      <c r="I13" s="16"/>
      <c r="J13" s="26"/>
      <c r="K13" s="11"/>
      <c r="L13" s="29"/>
      <c r="M13" s="14"/>
      <c r="N13" s="15"/>
      <c r="O13" s="16"/>
      <c r="P13" s="19"/>
      <c r="Q13" s="15"/>
      <c r="R13" s="15"/>
      <c r="S13" s="15"/>
      <c r="T13" s="130"/>
    </row>
    <row r="14" spans="1:20" ht="16.95" customHeight="1" x14ac:dyDescent="0.2">
      <c r="A14" s="21">
        <v>7</v>
      </c>
      <c r="B14" s="6" t="s">
        <v>88</v>
      </c>
      <c r="C14" s="7" t="s">
        <v>72</v>
      </c>
      <c r="D14" s="18" t="s">
        <v>19</v>
      </c>
      <c r="E14" s="8" t="s">
        <v>39</v>
      </c>
      <c r="F14" s="20" t="s">
        <v>40</v>
      </c>
      <c r="G14" s="10">
        <f>I14/H14</f>
        <v>0.30846153846153845</v>
      </c>
      <c r="H14" s="8">
        <v>39</v>
      </c>
      <c r="I14" s="11">
        <v>12.03</v>
      </c>
      <c r="J14" s="26" t="s">
        <v>32</v>
      </c>
      <c r="K14" s="8" t="s">
        <v>29</v>
      </c>
      <c r="L14" s="13">
        <v>550</v>
      </c>
      <c r="M14" s="14">
        <f t="shared" si="0"/>
        <v>6616.5</v>
      </c>
      <c r="N14" s="15">
        <v>124.5</v>
      </c>
      <c r="O14" s="8">
        <v>14.05</v>
      </c>
      <c r="P14" s="10">
        <v>11.644</v>
      </c>
      <c r="Q14" s="14">
        <f t="shared" si="1"/>
        <v>1449.6780000000001</v>
      </c>
      <c r="R14" s="25">
        <v>0</v>
      </c>
      <c r="S14" s="15">
        <f>20*I14</f>
        <v>240.6</v>
      </c>
      <c r="T14" s="136">
        <f t="shared" si="2"/>
        <v>8306.7780000000002</v>
      </c>
    </row>
    <row r="15" spans="1:20" ht="16.95" customHeight="1" x14ac:dyDescent="0.2">
      <c r="A15" s="92">
        <v>8</v>
      </c>
      <c r="B15" s="44" t="s">
        <v>88</v>
      </c>
      <c r="C15" s="45" t="s">
        <v>71</v>
      </c>
      <c r="D15" s="46" t="s">
        <v>19</v>
      </c>
      <c r="E15" s="47" t="s">
        <v>41</v>
      </c>
      <c r="F15" s="48" t="s">
        <v>42</v>
      </c>
      <c r="G15" s="49">
        <f>I15/H15</f>
        <v>0.46388888888888885</v>
      </c>
      <c r="H15" s="50">
        <v>36</v>
      </c>
      <c r="I15" s="51">
        <v>16.7</v>
      </c>
      <c r="J15" s="52" t="s">
        <v>32</v>
      </c>
      <c r="K15" s="50" t="s">
        <v>73</v>
      </c>
      <c r="L15" s="53">
        <v>625</v>
      </c>
      <c r="M15" s="54">
        <f t="shared" si="0"/>
        <v>10437.5</v>
      </c>
      <c r="N15" s="55">
        <v>124.5</v>
      </c>
      <c r="O15" s="49">
        <v>14.3</v>
      </c>
      <c r="P15" s="56">
        <v>10.96</v>
      </c>
      <c r="Q15" s="54">
        <f t="shared" si="1"/>
        <v>1364.5200000000002</v>
      </c>
      <c r="R15" s="57">
        <v>0</v>
      </c>
      <c r="S15" s="55">
        <f>20*I15</f>
        <v>334</v>
      </c>
      <c r="T15" s="137">
        <f t="shared" si="2"/>
        <v>12136.02</v>
      </c>
    </row>
    <row r="16" spans="1:20" ht="16.95" customHeight="1" x14ac:dyDescent="0.2">
      <c r="A16" s="58"/>
      <c r="B16" s="59"/>
      <c r="C16" s="59"/>
      <c r="D16" s="59"/>
      <c r="E16" s="59"/>
      <c r="F16" s="60"/>
      <c r="G16" s="59"/>
      <c r="H16" s="59"/>
      <c r="I16" s="59"/>
      <c r="J16" s="61"/>
      <c r="K16" s="59"/>
      <c r="L16" s="61"/>
      <c r="M16" s="59"/>
      <c r="N16" s="59"/>
      <c r="O16" s="59"/>
      <c r="P16" s="59"/>
      <c r="Q16" s="59"/>
      <c r="R16" s="59"/>
      <c r="S16" s="59"/>
      <c r="T16" s="131"/>
    </row>
    <row r="17" spans="1:20" ht="16.95" customHeight="1" x14ac:dyDescent="0.2">
      <c r="A17" s="91">
        <v>9</v>
      </c>
      <c r="B17" s="142" t="s">
        <v>62</v>
      </c>
      <c r="C17" s="67" t="s">
        <v>44</v>
      </c>
      <c r="D17" s="68" t="s">
        <v>19</v>
      </c>
      <c r="E17" s="67" t="s">
        <v>67</v>
      </c>
      <c r="F17" s="38" t="s">
        <v>31</v>
      </c>
      <c r="G17" s="39">
        <f>I17/H17</f>
        <v>0.18407079646017699</v>
      </c>
      <c r="H17" s="40">
        <v>113</v>
      </c>
      <c r="I17" s="43">
        <v>20.8</v>
      </c>
      <c r="J17" s="69" t="s">
        <v>46</v>
      </c>
      <c r="K17" s="40" t="s">
        <v>29</v>
      </c>
      <c r="L17" s="143">
        <v>525</v>
      </c>
      <c r="M17" s="41">
        <f t="shared" si="0"/>
        <v>10920</v>
      </c>
      <c r="N17" s="42">
        <v>102.5</v>
      </c>
      <c r="O17" s="43">
        <v>27.24</v>
      </c>
      <c r="P17" s="70">
        <v>23.08</v>
      </c>
      <c r="Q17" s="41">
        <f t="shared" si="1"/>
        <v>2365.6999999999998</v>
      </c>
      <c r="R17" s="42">
        <v>450</v>
      </c>
      <c r="S17" s="42">
        <f>20*20.8</f>
        <v>416</v>
      </c>
      <c r="T17" s="138">
        <f>S17+R17+Q17+M17</f>
        <v>14151.7</v>
      </c>
    </row>
    <row r="18" spans="1:20" ht="16.95" customHeight="1" x14ac:dyDescent="0.2">
      <c r="A18" s="93"/>
      <c r="B18" s="71"/>
      <c r="C18" s="98" t="s">
        <v>45</v>
      </c>
      <c r="D18" s="47"/>
      <c r="E18" s="72"/>
      <c r="F18" s="73"/>
      <c r="G18" s="74"/>
      <c r="H18" s="47"/>
      <c r="I18" s="51"/>
      <c r="J18" s="75"/>
      <c r="K18" s="47"/>
      <c r="L18" s="144"/>
      <c r="M18" s="55"/>
      <c r="N18" s="55"/>
      <c r="O18" s="51"/>
      <c r="P18" s="76"/>
      <c r="Q18" s="55"/>
      <c r="R18" s="55"/>
      <c r="S18" s="55"/>
      <c r="T18" s="133"/>
    </row>
    <row r="19" spans="1:20" ht="16.95" customHeight="1" x14ac:dyDescent="0.2">
      <c r="A19" s="77"/>
      <c r="B19" s="59"/>
      <c r="C19" s="78"/>
      <c r="D19" s="79"/>
      <c r="E19" s="80"/>
      <c r="F19" s="81"/>
      <c r="G19" s="82"/>
      <c r="H19" s="79"/>
      <c r="I19" s="83"/>
      <c r="J19" s="84"/>
      <c r="K19" s="79"/>
      <c r="L19" s="145"/>
      <c r="M19" s="85"/>
      <c r="N19" s="85"/>
      <c r="O19" s="83"/>
      <c r="P19" s="86"/>
      <c r="Q19" s="85"/>
      <c r="R19" s="85"/>
      <c r="S19" s="85"/>
      <c r="T19" s="134"/>
    </row>
    <row r="20" spans="1:20" ht="16.95" customHeight="1" x14ac:dyDescent="0.2">
      <c r="A20" s="91">
        <v>10</v>
      </c>
      <c r="B20" s="142" t="s">
        <v>62</v>
      </c>
      <c r="C20" s="67" t="s">
        <v>49</v>
      </c>
      <c r="D20" s="88" t="s">
        <v>19</v>
      </c>
      <c r="E20" s="67" t="s">
        <v>68</v>
      </c>
      <c r="F20" s="38" t="s">
        <v>53</v>
      </c>
      <c r="G20" s="39">
        <f t="shared" ref="G20:G42" si="3">I20/H20</f>
        <v>1</v>
      </c>
      <c r="H20" s="40">
        <v>1</v>
      </c>
      <c r="I20" s="43">
        <v>1</v>
      </c>
      <c r="J20" s="69" t="s">
        <v>54</v>
      </c>
      <c r="K20" s="40" t="s">
        <v>74</v>
      </c>
      <c r="L20" s="143">
        <v>1375</v>
      </c>
      <c r="M20" s="41">
        <f t="shared" ref="M20:M42" si="4">L20*I20</f>
        <v>1375</v>
      </c>
      <c r="N20" s="42"/>
      <c r="O20" s="43"/>
      <c r="P20" s="70"/>
      <c r="Q20" s="42"/>
      <c r="R20" s="42"/>
      <c r="S20" s="42"/>
      <c r="T20" s="132"/>
    </row>
    <row r="21" spans="1:20" ht="16.95" customHeight="1" x14ac:dyDescent="0.2">
      <c r="A21" s="5"/>
      <c r="B21" s="27"/>
      <c r="C21" s="97" t="s">
        <v>50</v>
      </c>
      <c r="D21" s="28"/>
      <c r="E21" s="28"/>
      <c r="F21" s="9" t="s">
        <v>55</v>
      </c>
      <c r="G21" s="10">
        <f t="shared" si="3"/>
        <v>0.5</v>
      </c>
      <c r="H21" s="11">
        <v>2</v>
      </c>
      <c r="I21" s="16">
        <v>1</v>
      </c>
      <c r="J21" s="26"/>
      <c r="K21" s="11" t="s">
        <v>75</v>
      </c>
      <c r="L21" s="146">
        <v>700</v>
      </c>
      <c r="M21" s="14">
        <f t="shared" si="4"/>
        <v>700</v>
      </c>
      <c r="N21" s="15"/>
      <c r="O21" s="16"/>
      <c r="P21" s="19"/>
      <c r="Q21" s="15"/>
      <c r="R21" s="15"/>
      <c r="S21" s="15"/>
      <c r="T21" s="130"/>
    </row>
    <row r="22" spans="1:20" ht="16.95" customHeight="1" x14ac:dyDescent="0.2">
      <c r="A22" s="5"/>
      <c r="B22" s="27"/>
      <c r="C22" s="28" t="s">
        <v>51</v>
      </c>
      <c r="D22" s="28"/>
      <c r="E22" s="28"/>
      <c r="F22" s="9" t="s">
        <v>42</v>
      </c>
      <c r="G22" s="10">
        <f t="shared" si="3"/>
        <v>0.46</v>
      </c>
      <c r="H22" s="11">
        <v>2</v>
      </c>
      <c r="I22" s="16">
        <v>0.92</v>
      </c>
      <c r="J22" s="26"/>
      <c r="K22" s="11" t="s">
        <v>76</v>
      </c>
      <c r="L22" s="146">
        <v>675</v>
      </c>
      <c r="M22" s="14">
        <f t="shared" si="4"/>
        <v>621</v>
      </c>
      <c r="N22" s="15"/>
      <c r="O22" s="16"/>
      <c r="P22" s="19"/>
      <c r="Q22" s="15"/>
      <c r="R22" s="15"/>
      <c r="S22" s="15"/>
      <c r="T22" s="130"/>
    </row>
    <row r="23" spans="1:20" ht="16.95" customHeight="1" x14ac:dyDescent="0.2">
      <c r="A23" s="5"/>
      <c r="B23" s="27"/>
      <c r="C23" s="28" t="s">
        <v>52</v>
      </c>
      <c r="D23" s="28"/>
      <c r="E23" s="28"/>
      <c r="F23" s="9" t="s">
        <v>40</v>
      </c>
      <c r="G23" s="10">
        <f t="shared" si="3"/>
        <v>0.314</v>
      </c>
      <c r="H23" s="11">
        <v>10</v>
      </c>
      <c r="I23" s="16">
        <v>3.14</v>
      </c>
      <c r="J23" s="26"/>
      <c r="K23" s="11" t="s">
        <v>77</v>
      </c>
      <c r="L23" s="146">
        <v>575</v>
      </c>
      <c r="M23" s="14">
        <f t="shared" si="4"/>
        <v>1805.5</v>
      </c>
      <c r="N23" s="15"/>
      <c r="O23" s="16"/>
      <c r="P23" s="19"/>
      <c r="Q23" s="15"/>
      <c r="R23" s="15"/>
      <c r="S23" s="15"/>
      <c r="T23" s="130"/>
    </row>
    <row r="24" spans="1:20" ht="16.95" customHeight="1" x14ac:dyDescent="0.2">
      <c r="A24" s="5"/>
      <c r="B24" s="27"/>
      <c r="C24" s="28"/>
      <c r="D24" s="28"/>
      <c r="E24" s="28"/>
      <c r="F24" s="9" t="s">
        <v>36</v>
      </c>
      <c r="G24" s="10">
        <f t="shared" si="3"/>
        <v>0.23666666666666666</v>
      </c>
      <c r="H24" s="11">
        <v>6</v>
      </c>
      <c r="I24" s="16">
        <v>1.42</v>
      </c>
      <c r="J24" s="26"/>
      <c r="K24" s="11" t="s">
        <v>77</v>
      </c>
      <c r="L24" s="146">
        <v>550</v>
      </c>
      <c r="M24" s="14">
        <f t="shared" si="4"/>
        <v>781</v>
      </c>
      <c r="N24" s="15"/>
      <c r="O24" s="16"/>
      <c r="P24" s="19"/>
      <c r="Q24" s="15"/>
      <c r="R24" s="15"/>
      <c r="S24" s="15"/>
      <c r="T24" s="130"/>
    </row>
    <row r="25" spans="1:20" ht="16.95" customHeight="1" x14ac:dyDescent="0.2">
      <c r="A25" s="5"/>
      <c r="B25" s="27"/>
      <c r="C25" s="28"/>
      <c r="D25" s="28"/>
      <c r="E25" s="28"/>
      <c r="F25" s="9" t="s">
        <v>31</v>
      </c>
      <c r="G25" s="10">
        <f t="shared" si="3"/>
        <v>0.1825</v>
      </c>
      <c r="H25" s="11">
        <v>4</v>
      </c>
      <c r="I25" s="16">
        <v>0.73</v>
      </c>
      <c r="J25" s="26"/>
      <c r="K25" s="11" t="s">
        <v>78</v>
      </c>
      <c r="L25" s="146">
        <v>535</v>
      </c>
      <c r="M25" s="14">
        <f t="shared" si="4"/>
        <v>390.55</v>
      </c>
      <c r="N25" s="15"/>
      <c r="O25" s="16"/>
      <c r="P25" s="19"/>
      <c r="Q25" s="15"/>
      <c r="R25" s="15"/>
      <c r="S25" s="15"/>
      <c r="T25" s="130"/>
    </row>
    <row r="26" spans="1:20" ht="16.95" customHeight="1" x14ac:dyDescent="0.2">
      <c r="A26" s="5"/>
      <c r="B26" s="27"/>
      <c r="C26" s="28"/>
      <c r="D26" s="28"/>
      <c r="E26" s="28"/>
      <c r="F26" s="9" t="s">
        <v>56</v>
      </c>
      <c r="G26" s="10">
        <f t="shared" si="3"/>
        <v>0.11166666666666668</v>
      </c>
      <c r="H26" s="11">
        <v>6</v>
      </c>
      <c r="I26" s="16">
        <v>0.67</v>
      </c>
      <c r="J26" s="26"/>
      <c r="K26" s="11" t="s">
        <v>79</v>
      </c>
      <c r="L26" s="146">
        <v>475</v>
      </c>
      <c r="M26" s="14">
        <f t="shared" si="4"/>
        <v>318.25</v>
      </c>
      <c r="N26" s="15"/>
      <c r="O26" s="16"/>
      <c r="P26" s="19"/>
      <c r="Q26" s="15"/>
      <c r="R26" s="15"/>
      <c r="S26" s="15"/>
      <c r="T26" s="130"/>
    </row>
    <row r="27" spans="1:20" ht="16.95" customHeight="1" x14ac:dyDescent="0.2">
      <c r="A27" s="5"/>
      <c r="B27" s="27"/>
      <c r="C27" s="28"/>
      <c r="D27" s="28"/>
      <c r="E27" s="28"/>
      <c r="F27" s="9" t="s">
        <v>57</v>
      </c>
      <c r="G27" s="10">
        <f t="shared" si="3"/>
        <v>9.7500000000000003E-2</v>
      </c>
      <c r="H27" s="11">
        <v>4</v>
      </c>
      <c r="I27" s="16">
        <v>0.39</v>
      </c>
      <c r="J27" s="26"/>
      <c r="K27" s="11" t="s">
        <v>80</v>
      </c>
      <c r="L27" s="146">
        <v>475</v>
      </c>
      <c r="M27" s="14">
        <f t="shared" si="4"/>
        <v>185.25</v>
      </c>
      <c r="N27" s="15"/>
      <c r="O27" s="16"/>
      <c r="P27" s="19"/>
      <c r="Q27" s="15"/>
      <c r="R27" s="15"/>
      <c r="S27" s="15"/>
      <c r="T27" s="130"/>
    </row>
    <row r="28" spans="1:20" ht="16.95" customHeight="1" x14ac:dyDescent="0.2">
      <c r="A28" s="5"/>
      <c r="B28" s="27"/>
      <c r="C28" s="28"/>
      <c r="D28" s="28"/>
      <c r="E28" s="28"/>
      <c r="F28" s="9" t="s">
        <v>58</v>
      </c>
      <c r="G28" s="10">
        <f t="shared" si="3"/>
        <v>4.230769230769231E-2</v>
      </c>
      <c r="H28" s="11">
        <v>26</v>
      </c>
      <c r="I28" s="16">
        <v>1.1000000000000001</v>
      </c>
      <c r="J28" s="26"/>
      <c r="K28" s="11" t="s">
        <v>81</v>
      </c>
      <c r="L28" s="146">
        <v>350</v>
      </c>
      <c r="M28" s="14">
        <f t="shared" si="4"/>
        <v>385.00000000000006</v>
      </c>
      <c r="N28" s="15"/>
      <c r="O28" s="16"/>
      <c r="P28" s="19"/>
      <c r="Q28" s="15"/>
      <c r="R28" s="15"/>
      <c r="S28" s="15"/>
      <c r="T28" s="130"/>
    </row>
    <row r="29" spans="1:20" ht="16.95" customHeight="1" x14ac:dyDescent="0.2">
      <c r="A29" s="93"/>
      <c r="B29" s="71"/>
      <c r="C29" s="72"/>
      <c r="D29" s="72"/>
      <c r="E29" s="72"/>
      <c r="F29" s="73" t="s">
        <v>59</v>
      </c>
      <c r="G29" s="49">
        <f t="shared" si="3"/>
        <v>2.8260869565217391E-2</v>
      </c>
      <c r="H29" s="47">
        <v>46</v>
      </c>
      <c r="I29" s="51">
        <v>1.3</v>
      </c>
      <c r="J29" s="75"/>
      <c r="K29" s="47" t="s">
        <v>82</v>
      </c>
      <c r="L29" s="144">
        <v>330</v>
      </c>
      <c r="M29" s="54">
        <f t="shared" si="4"/>
        <v>429</v>
      </c>
      <c r="N29" s="55">
        <v>102.5</v>
      </c>
      <c r="O29" s="51">
        <v>22.94</v>
      </c>
      <c r="P29" s="89">
        <v>20.606000000000002</v>
      </c>
      <c r="Q29" s="54">
        <f t="shared" ref="Q29" si="5">P29*N29</f>
        <v>2112.1150000000002</v>
      </c>
      <c r="R29" s="55">
        <v>475</v>
      </c>
      <c r="S29" s="55">
        <f>20*11.67</f>
        <v>233.4</v>
      </c>
      <c r="T29" s="139">
        <f>S29+R29+Q29+M20+M21+M22+M23+M24+M25+M26+M27+M28+M29</f>
        <v>9811.0650000000005</v>
      </c>
    </row>
    <row r="30" spans="1:20" ht="16.95" customHeight="1" x14ac:dyDescent="0.2">
      <c r="A30" s="77"/>
      <c r="B30" s="59"/>
      <c r="C30" s="80"/>
      <c r="D30" s="80"/>
      <c r="E30" s="80"/>
      <c r="F30" s="81"/>
      <c r="G30" s="82"/>
      <c r="H30" s="79"/>
      <c r="I30" s="83"/>
      <c r="J30" s="84"/>
      <c r="K30" s="79"/>
      <c r="L30" s="145"/>
      <c r="M30" s="85"/>
      <c r="N30" s="85"/>
      <c r="O30" s="83"/>
      <c r="P30" s="90"/>
      <c r="Q30" s="85"/>
      <c r="R30" s="85"/>
      <c r="S30" s="85"/>
      <c r="T30" s="134"/>
    </row>
    <row r="31" spans="1:20" ht="16.95" customHeight="1" x14ac:dyDescent="0.2">
      <c r="A31" s="91">
        <v>11</v>
      </c>
      <c r="B31" s="142" t="s">
        <v>62</v>
      </c>
      <c r="C31" s="67" t="s">
        <v>60</v>
      </c>
      <c r="D31" s="88" t="s">
        <v>19</v>
      </c>
      <c r="E31" s="67" t="s">
        <v>69</v>
      </c>
      <c r="F31" s="38" t="s">
        <v>63</v>
      </c>
      <c r="G31" s="39">
        <f t="shared" si="3"/>
        <v>0.91</v>
      </c>
      <c r="H31" s="40">
        <v>1</v>
      </c>
      <c r="I31" s="43">
        <v>0.91</v>
      </c>
      <c r="J31" s="69" t="s">
        <v>54</v>
      </c>
      <c r="K31" s="40" t="s">
        <v>83</v>
      </c>
      <c r="L31" s="143">
        <v>1025</v>
      </c>
      <c r="M31" s="41">
        <f t="shared" si="4"/>
        <v>932.75</v>
      </c>
      <c r="N31" s="42"/>
      <c r="O31" s="43"/>
      <c r="P31" s="70"/>
      <c r="Q31" s="42"/>
      <c r="R31" s="42"/>
      <c r="S31" s="42"/>
      <c r="T31" s="132"/>
    </row>
    <row r="32" spans="1:20" ht="16.95" customHeight="1" x14ac:dyDescent="0.2">
      <c r="A32" s="5"/>
      <c r="B32" s="27"/>
      <c r="C32" s="97" t="s">
        <v>61</v>
      </c>
      <c r="D32" s="28"/>
      <c r="E32" s="28"/>
      <c r="F32" s="9" t="s">
        <v>64</v>
      </c>
      <c r="G32" s="10">
        <f t="shared" si="3"/>
        <v>0.5</v>
      </c>
      <c r="H32" s="11">
        <v>2</v>
      </c>
      <c r="I32" s="16">
        <v>1</v>
      </c>
      <c r="J32" s="26"/>
      <c r="K32" s="11" t="s">
        <v>75</v>
      </c>
      <c r="L32" s="146">
        <v>700</v>
      </c>
      <c r="M32" s="14">
        <f t="shared" si="4"/>
        <v>700</v>
      </c>
      <c r="N32" s="15"/>
      <c r="O32" s="16"/>
      <c r="P32" s="19"/>
      <c r="Q32" s="15"/>
      <c r="R32" s="15"/>
      <c r="S32" s="15"/>
      <c r="T32" s="130"/>
    </row>
    <row r="33" spans="1:20" ht="16.95" customHeight="1" x14ac:dyDescent="0.2">
      <c r="A33" s="5"/>
      <c r="B33" s="27"/>
      <c r="C33" s="28" t="s">
        <v>62</v>
      </c>
      <c r="D33" s="28"/>
      <c r="E33" s="28"/>
      <c r="F33" s="9" t="s">
        <v>42</v>
      </c>
      <c r="G33" s="10">
        <f t="shared" si="3"/>
        <v>0.46500000000000002</v>
      </c>
      <c r="H33" s="11">
        <v>2</v>
      </c>
      <c r="I33" s="16">
        <v>0.93</v>
      </c>
      <c r="J33" s="26"/>
      <c r="K33" s="11" t="s">
        <v>76</v>
      </c>
      <c r="L33" s="146">
        <v>675</v>
      </c>
      <c r="M33" s="14">
        <f t="shared" si="4"/>
        <v>627.75</v>
      </c>
      <c r="N33" s="15"/>
      <c r="O33" s="16"/>
      <c r="P33" s="19"/>
      <c r="Q33" s="15"/>
      <c r="R33" s="15"/>
      <c r="S33" s="15"/>
      <c r="T33" s="130"/>
    </row>
    <row r="34" spans="1:20" ht="16.95" customHeight="1" x14ac:dyDescent="0.2">
      <c r="A34" s="5"/>
      <c r="B34" s="27"/>
      <c r="C34" s="28"/>
      <c r="D34" s="28"/>
      <c r="E34" s="28"/>
      <c r="F34" s="9" t="s">
        <v>65</v>
      </c>
      <c r="G34" s="10">
        <f t="shared" si="3"/>
        <v>0.39250000000000002</v>
      </c>
      <c r="H34" s="11">
        <v>4</v>
      </c>
      <c r="I34" s="16">
        <v>1.57</v>
      </c>
      <c r="J34" s="26"/>
      <c r="K34" s="11" t="s">
        <v>76</v>
      </c>
      <c r="L34" s="146">
        <v>675</v>
      </c>
      <c r="M34" s="14">
        <f t="shared" si="4"/>
        <v>1059.75</v>
      </c>
      <c r="N34" s="15"/>
      <c r="O34" s="16"/>
      <c r="P34" s="19"/>
      <c r="Q34" s="15"/>
      <c r="R34" s="15"/>
      <c r="S34" s="15"/>
      <c r="T34" s="130"/>
    </row>
    <row r="35" spans="1:20" ht="16.95" customHeight="1" x14ac:dyDescent="0.2">
      <c r="A35" s="5"/>
      <c r="B35" s="27"/>
      <c r="C35" s="28"/>
      <c r="D35" s="28"/>
      <c r="E35" s="28"/>
      <c r="F35" s="9" t="s">
        <v>40</v>
      </c>
      <c r="G35" s="10">
        <f t="shared" si="3"/>
        <v>0.3125</v>
      </c>
      <c r="H35" s="11">
        <v>4</v>
      </c>
      <c r="I35" s="16">
        <v>1.25</v>
      </c>
      <c r="J35" s="26"/>
      <c r="K35" s="11" t="s">
        <v>77</v>
      </c>
      <c r="L35" s="146">
        <v>575</v>
      </c>
      <c r="M35" s="14">
        <f t="shared" si="4"/>
        <v>718.75</v>
      </c>
      <c r="N35" s="15"/>
      <c r="O35" s="16"/>
      <c r="P35" s="19"/>
      <c r="Q35" s="15"/>
      <c r="R35" s="15"/>
      <c r="S35" s="15"/>
      <c r="T35" s="130"/>
    </row>
    <row r="36" spans="1:20" ht="16.95" customHeight="1" x14ac:dyDescent="0.2">
      <c r="A36" s="5"/>
      <c r="B36" s="27"/>
      <c r="C36" s="28"/>
      <c r="D36" s="28"/>
      <c r="E36" s="28"/>
      <c r="F36" s="9" t="s">
        <v>36</v>
      </c>
      <c r="G36" s="10">
        <f t="shared" si="3"/>
        <v>0.245</v>
      </c>
      <c r="H36" s="11">
        <v>4</v>
      </c>
      <c r="I36" s="16">
        <v>0.98</v>
      </c>
      <c r="J36" s="26"/>
      <c r="K36" s="11" t="s">
        <v>77</v>
      </c>
      <c r="L36" s="146">
        <v>550</v>
      </c>
      <c r="M36" s="14">
        <f t="shared" si="4"/>
        <v>539</v>
      </c>
      <c r="N36" s="15"/>
      <c r="O36" s="16"/>
      <c r="P36" s="19"/>
      <c r="Q36" s="15"/>
      <c r="R36" s="15"/>
      <c r="S36" s="15"/>
      <c r="T36" s="130"/>
    </row>
    <row r="37" spans="1:20" ht="16.95" customHeight="1" x14ac:dyDescent="0.2">
      <c r="A37" s="5"/>
      <c r="B37" s="27"/>
      <c r="C37" s="28"/>
      <c r="D37" s="28"/>
      <c r="E37" s="28"/>
      <c r="F37" s="9" t="s">
        <v>31</v>
      </c>
      <c r="G37" s="10">
        <f t="shared" si="3"/>
        <v>0.19</v>
      </c>
      <c r="H37" s="11">
        <v>2</v>
      </c>
      <c r="I37" s="16">
        <v>0.38</v>
      </c>
      <c r="J37" s="26"/>
      <c r="K37" s="11" t="s">
        <v>78</v>
      </c>
      <c r="L37" s="146">
        <v>535</v>
      </c>
      <c r="M37" s="14">
        <f t="shared" si="4"/>
        <v>203.3</v>
      </c>
      <c r="N37" s="15"/>
      <c r="O37" s="16"/>
      <c r="P37" s="19"/>
      <c r="Q37" s="15"/>
      <c r="R37" s="15"/>
      <c r="S37" s="15"/>
      <c r="T37" s="130"/>
    </row>
    <row r="38" spans="1:20" ht="16.95" customHeight="1" x14ac:dyDescent="0.2">
      <c r="A38" s="5"/>
      <c r="B38" s="27"/>
      <c r="C38" s="28"/>
      <c r="D38" s="28"/>
      <c r="E38" s="28"/>
      <c r="F38" s="9" t="s">
        <v>27</v>
      </c>
      <c r="G38" s="10">
        <f t="shared" si="3"/>
        <v>0.155</v>
      </c>
      <c r="H38" s="11">
        <v>2</v>
      </c>
      <c r="I38" s="16">
        <v>0.31</v>
      </c>
      <c r="J38" s="26"/>
      <c r="K38" s="11" t="s">
        <v>84</v>
      </c>
      <c r="L38" s="146">
        <v>500</v>
      </c>
      <c r="M38" s="14">
        <f t="shared" si="4"/>
        <v>155</v>
      </c>
      <c r="N38" s="15"/>
      <c r="O38" s="16"/>
      <c r="P38" s="19"/>
      <c r="Q38" s="15"/>
      <c r="R38" s="15"/>
      <c r="S38" s="15"/>
      <c r="T38" s="130"/>
    </row>
    <row r="39" spans="1:20" ht="16.95" customHeight="1" x14ac:dyDescent="0.2">
      <c r="A39" s="5"/>
      <c r="B39" s="27"/>
      <c r="C39" s="28"/>
      <c r="D39" s="28"/>
      <c r="E39" s="28"/>
      <c r="F39" s="9" t="s">
        <v>56</v>
      </c>
      <c r="G39" s="10">
        <f t="shared" si="3"/>
        <v>0.13250000000000001</v>
      </c>
      <c r="H39" s="11">
        <v>4</v>
      </c>
      <c r="I39" s="16">
        <v>0.53</v>
      </c>
      <c r="J39" s="26"/>
      <c r="K39" s="11" t="s">
        <v>79</v>
      </c>
      <c r="L39" s="146">
        <v>475</v>
      </c>
      <c r="M39" s="14">
        <f t="shared" si="4"/>
        <v>251.75</v>
      </c>
      <c r="N39" s="15"/>
      <c r="O39" s="16"/>
      <c r="P39" s="19"/>
      <c r="Q39" s="15"/>
      <c r="R39" s="15"/>
      <c r="S39" s="15"/>
      <c r="T39" s="130"/>
    </row>
    <row r="40" spans="1:20" ht="16.95" customHeight="1" x14ac:dyDescent="0.2">
      <c r="A40" s="5"/>
      <c r="B40" s="27"/>
      <c r="C40" s="28"/>
      <c r="D40" s="28"/>
      <c r="E40" s="28"/>
      <c r="F40" s="9" t="s">
        <v>66</v>
      </c>
      <c r="G40" s="10">
        <f t="shared" si="3"/>
        <v>8.3846153846153848E-2</v>
      </c>
      <c r="H40" s="11">
        <v>26</v>
      </c>
      <c r="I40" s="16">
        <v>2.1800000000000002</v>
      </c>
      <c r="J40" s="26"/>
      <c r="K40" s="11" t="s">
        <v>80</v>
      </c>
      <c r="L40" s="146">
        <v>475</v>
      </c>
      <c r="M40" s="14">
        <f t="shared" si="4"/>
        <v>1035.5</v>
      </c>
      <c r="N40" s="15"/>
      <c r="O40" s="16"/>
      <c r="P40" s="19"/>
      <c r="Q40" s="15"/>
      <c r="R40" s="15"/>
      <c r="S40" s="15"/>
      <c r="T40" s="130"/>
    </row>
    <row r="41" spans="1:20" ht="16.95" customHeight="1" x14ac:dyDescent="0.2">
      <c r="A41" s="5"/>
      <c r="B41" s="27"/>
      <c r="C41" s="28"/>
      <c r="D41" s="28"/>
      <c r="E41" s="28"/>
      <c r="F41" s="9" t="s">
        <v>58</v>
      </c>
      <c r="G41" s="10">
        <f t="shared" si="3"/>
        <v>4.8500000000000001E-2</v>
      </c>
      <c r="H41" s="11">
        <v>60</v>
      </c>
      <c r="I41" s="16">
        <v>2.91</v>
      </c>
      <c r="J41" s="26"/>
      <c r="K41" s="11" t="s">
        <v>81</v>
      </c>
      <c r="L41" s="146">
        <v>350</v>
      </c>
      <c r="M41" s="14">
        <f t="shared" si="4"/>
        <v>1018.5</v>
      </c>
      <c r="N41" s="15"/>
      <c r="O41" s="16"/>
      <c r="P41" s="19"/>
      <c r="Q41" s="15"/>
      <c r="R41" s="15"/>
      <c r="S41" s="15"/>
      <c r="T41" s="130"/>
    </row>
    <row r="42" spans="1:20" ht="16.95" customHeight="1" thickBot="1" x14ac:dyDescent="0.25">
      <c r="A42" s="30"/>
      <c r="B42" s="31"/>
      <c r="C42" s="32"/>
      <c r="D42" s="32"/>
      <c r="E42" s="32"/>
      <c r="F42" s="99" t="s">
        <v>59</v>
      </c>
      <c r="G42" s="100">
        <f t="shared" si="3"/>
        <v>2.8999999999999998E-2</v>
      </c>
      <c r="H42" s="33">
        <v>40</v>
      </c>
      <c r="I42" s="34">
        <v>1.1599999999999999</v>
      </c>
      <c r="J42" s="101"/>
      <c r="K42" s="33" t="s">
        <v>82</v>
      </c>
      <c r="L42" s="147">
        <v>330</v>
      </c>
      <c r="M42" s="35">
        <f t="shared" si="4"/>
        <v>382.79999999999995</v>
      </c>
      <c r="N42" s="36">
        <v>102.5</v>
      </c>
      <c r="O42" s="34">
        <v>22.88</v>
      </c>
      <c r="P42" s="102">
        <v>20.058</v>
      </c>
      <c r="Q42" s="35">
        <f t="shared" ref="Q42" si="6">P42*N42</f>
        <v>2055.9450000000002</v>
      </c>
      <c r="R42" s="36">
        <v>475</v>
      </c>
      <c r="S42" s="36">
        <f>20*14.11</f>
        <v>282.2</v>
      </c>
      <c r="T42" s="140">
        <f>S42+R42+Q42+M31+M32+M33+M34+M35+M36+M37+M38+M39+M40+M41+M42</f>
        <v>10437.994999999999</v>
      </c>
    </row>
    <row r="43" spans="1:20" ht="16.95" customHeight="1" thickBot="1" x14ac:dyDescent="0.25">
      <c r="A43" s="103">
        <f>SUBTOTAL(103,Table1[Sr])</f>
        <v>11</v>
      </c>
      <c r="B43" s="104"/>
      <c r="C43" s="105"/>
      <c r="D43" s="105"/>
      <c r="E43" s="105"/>
      <c r="F43" s="105"/>
      <c r="G43" s="106"/>
      <c r="H43" s="107">
        <f>SUBTOTAL(109,Table1[No.Pcs])</f>
        <v>734</v>
      </c>
      <c r="I43" s="108">
        <f>SUBTOTAL(109,Table1[Diam Cts])</f>
        <v>124.86999999999999</v>
      </c>
      <c r="J43" s="109"/>
      <c r="K43" s="107"/>
      <c r="L43" s="110"/>
      <c r="M43" s="111">
        <f>SUBTOTAL(109,Table1[Diam Total])</f>
        <v>69176.450000000012</v>
      </c>
      <c r="N43" s="107"/>
      <c r="O43" s="108">
        <f>SUBTOTAL(109,Table1[Gross Gm])</f>
        <v>166.23999999999998</v>
      </c>
      <c r="P43" s="112">
        <f>SUBTOTAL(109,Table1[Net Gm])</f>
        <v>141.26599999999999</v>
      </c>
      <c r="Q43" s="113">
        <f>SUBTOTAL(109,Table1[Gold Total])</f>
        <v>16185.248999999998</v>
      </c>
      <c r="R43" s="113">
        <f>SUBTOTAL(109,Table1[Diam Settg])</f>
        <v>1400</v>
      </c>
      <c r="S43" s="113">
        <f>SUBTOTAL(109,Table1[Cert Exp])</f>
        <v>2497.3999999999996</v>
      </c>
      <c r="T43" s="141">
        <f>SUBTOTAL(109,Table1[Total Amt $])</f>
        <v>89259.098999999987</v>
      </c>
    </row>
    <row r="44" spans="1:20" ht="16.95" customHeight="1" x14ac:dyDescent="0.2">
      <c r="A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1</v>
      </c>
      <c r="N44" s="2"/>
      <c r="O44" s="3"/>
      <c r="P44" s="2"/>
      <c r="Q44" s="2">
        <v>2</v>
      </c>
      <c r="R44" s="2">
        <v>3</v>
      </c>
      <c r="S44" s="2">
        <v>4</v>
      </c>
      <c r="T44" s="2" t="s">
        <v>43</v>
      </c>
    </row>
  </sheetData>
  <mergeCells count="2">
    <mergeCell ref="A3:T3"/>
    <mergeCell ref="A2:T2"/>
  </mergeCells>
  <hyperlinks>
    <hyperlink ref="D5" r:id="rId1" xr:uid="{83EEF05D-E6DA-4AAB-9772-6BD589083C40}"/>
    <hyperlink ref="D6" r:id="rId2" xr:uid="{94A67503-729C-40BF-9C5E-E3C2649B555F}"/>
    <hyperlink ref="D8" r:id="rId3" xr:uid="{442612BE-06C2-44C2-9307-5A862F01F149}"/>
    <hyperlink ref="D9" r:id="rId4" xr:uid="{26A3BF5F-D85F-476B-8FDE-5F6B1A196932}"/>
    <hyperlink ref="D12" r:id="rId5" xr:uid="{5A30B516-5E51-4986-B1D9-F0CA8FF67313}"/>
    <hyperlink ref="D11" r:id="rId6" xr:uid="{19AA6CC0-9CEB-45F4-926F-038C98C49182}"/>
    <hyperlink ref="D14" r:id="rId7" xr:uid="{84CDF66D-8071-4EE6-84A1-33D02EA61684}"/>
    <hyperlink ref="D15" r:id="rId8" xr:uid="{B0121DFC-6071-4F0B-8CF9-56FC614CA77A}"/>
    <hyperlink ref="D17" r:id="rId9" xr:uid="{35E28A4B-601D-4CA1-A50A-61205B87C4CD}"/>
    <hyperlink ref="D20" r:id="rId10" xr:uid="{A29F01CB-6B34-4D2A-92C5-BB00F7ED8B44}"/>
    <hyperlink ref="D31" r:id="rId11" xr:uid="{5CA5CF43-CCCB-4A3F-8D7D-BC84596A499D}"/>
  </hyperlinks>
  <pageMargins left="0.70866141732283472" right="0.70866141732283472" top="0.35433070866141736" bottom="0.35433070866141736" header="0.31496062992125984" footer="0.31496062992125984"/>
  <pageSetup paperSize="9" scale="71" orientation="landscape" r:id="rId12"/>
  <ignoredErrors>
    <ignoredError sqref="G14:G42 S14:T42 S5:T6 G5:G6 S8:T9 G8:G9 S11:T12 G11:G12" unlockedFormula="1"/>
  </ignoredErrors>
  <drawing r:id="rId13"/>
  <tableParts count="1">
    <tablePart r:id="rId1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2346A-6E92-4256-8CF7-E3462FF680DD}">
  <dimension ref="A1:U67"/>
  <sheetViews>
    <sheetView tabSelected="1" topLeftCell="A34" zoomScaleNormal="100" workbookViewId="0">
      <selection activeCell="U5" sqref="U5:U29"/>
    </sheetView>
  </sheetViews>
  <sheetFormatPr defaultColWidth="8.88671875" defaultRowHeight="16.95" customHeight="1" x14ac:dyDescent="0.25"/>
  <cols>
    <col min="1" max="1" width="4.5546875" style="156" customWidth="1"/>
    <col min="2" max="2" width="6.88671875" style="156" customWidth="1"/>
    <col min="3" max="3" width="27.88671875" style="156" bestFit="1" customWidth="1"/>
    <col min="4" max="4" width="6.44140625" style="156" customWidth="1"/>
    <col min="5" max="5" width="15.33203125" style="156" bestFit="1" customWidth="1"/>
    <col min="6" max="6" width="9.6640625" style="156" customWidth="1"/>
    <col min="7" max="7" width="9.44140625" style="156" bestFit="1" customWidth="1"/>
    <col min="8" max="8" width="7.109375" style="156" customWidth="1"/>
    <col min="9" max="9" width="6.33203125" style="156" customWidth="1"/>
    <col min="10" max="10" width="6.6640625" style="156" customWidth="1"/>
    <col min="11" max="11" width="10.6640625" style="156" customWidth="1"/>
    <col min="12" max="12" width="6.5546875" style="156" customWidth="1"/>
    <col min="13" max="13" width="8.5546875" style="156" customWidth="1"/>
    <col min="14" max="14" width="11.44140625" style="156" customWidth="1"/>
    <col min="15" max="15" width="8" style="156" customWidth="1"/>
    <col min="16" max="16" width="8.6640625" style="156" customWidth="1"/>
    <col min="17" max="17" width="7.109375" style="156" customWidth="1"/>
    <col min="18" max="18" width="11" style="156" customWidth="1"/>
    <col min="19" max="19" width="9" style="156" bestFit="1" customWidth="1"/>
    <col min="20" max="20" width="9.33203125" style="156" customWidth="1"/>
    <col min="21" max="21" width="13" style="156" customWidth="1"/>
    <col min="22" max="16384" width="8.88671875" style="156"/>
  </cols>
  <sheetData>
    <row r="1" spans="1:21" ht="16.95" customHeight="1" thickBot="1" x14ac:dyDescent="0.3"/>
    <row r="2" spans="1:21" ht="16.95" customHeight="1" thickBot="1" x14ac:dyDescent="0.3">
      <c r="A2" s="171" t="s">
        <v>183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3"/>
    </row>
    <row r="3" spans="1:21" ht="16.95" customHeight="1" thickBot="1" x14ac:dyDescent="0.3">
      <c r="A3" s="171" t="s">
        <v>90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3"/>
    </row>
    <row r="4" spans="1:21" ht="16.95" customHeight="1" thickBot="1" x14ac:dyDescent="0.3">
      <c r="A4" s="103" t="s">
        <v>0</v>
      </c>
      <c r="B4" s="107" t="s">
        <v>1</v>
      </c>
      <c r="C4" s="105" t="s">
        <v>2</v>
      </c>
      <c r="D4" s="107" t="s">
        <v>3</v>
      </c>
      <c r="E4" s="107" t="s">
        <v>4</v>
      </c>
      <c r="F4" s="105" t="s">
        <v>94</v>
      </c>
      <c r="G4" s="174" t="s">
        <v>95</v>
      </c>
      <c r="H4" s="175" t="s">
        <v>6</v>
      </c>
      <c r="I4" s="107" t="s">
        <v>7</v>
      </c>
      <c r="J4" s="107" t="s">
        <v>8</v>
      </c>
      <c r="K4" s="105" t="s">
        <v>9</v>
      </c>
      <c r="L4" s="107" t="s">
        <v>10</v>
      </c>
      <c r="M4" s="107" t="s">
        <v>96</v>
      </c>
      <c r="N4" s="111" t="s">
        <v>12</v>
      </c>
      <c r="O4" s="113" t="s">
        <v>47</v>
      </c>
      <c r="P4" s="108" t="s">
        <v>14</v>
      </c>
      <c r="Q4" s="112" t="s">
        <v>15</v>
      </c>
      <c r="R4" s="111" t="s">
        <v>16</v>
      </c>
      <c r="S4" s="111" t="s">
        <v>48</v>
      </c>
      <c r="T4" s="113" t="s">
        <v>17</v>
      </c>
      <c r="U4" s="176" t="s">
        <v>18</v>
      </c>
    </row>
    <row r="5" spans="1:21" ht="16.95" customHeight="1" x14ac:dyDescent="0.25">
      <c r="A5" s="177">
        <v>1</v>
      </c>
      <c r="B5" s="178" t="s">
        <v>97</v>
      </c>
      <c r="C5" s="179" t="s">
        <v>98</v>
      </c>
      <c r="D5" s="180" t="s">
        <v>19</v>
      </c>
      <c r="E5" s="181" t="s">
        <v>99</v>
      </c>
      <c r="F5" s="179" t="s">
        <v>100</v>
      </c>
      <c r="G5" s="182" t="s">
        <v>31</v>
      </c>
      <c r="H5" s="183">
        <f>Table3[[#This Row],[Diam Cts]]/Table3[[#This Row],[No.Pcs]]</f>
        <v>0.18863636363636366</v>
      </c>
      <c r="I5" s="178">
        <v>44</v>
      </c>
      <c r="J5" s="183">
        <v>8.3000000000000007</v>
      </c>
      <c r="K5" s="184" t="s">
        <v>101</v>
      </c>
      <c r="L5" s="178" t="s">
        <v>77</v>
      </c>
      <c r="M5" s="169">
        <v>625</v>
      </c>
      <c r="N5" s="185">
        <f>Table3[[#This Row],[Per/ct2]]*Table3[[#This Row],[Diam Cts]]</f>
        <v>5187.5</v>
      </c>
      <c r="O5" s="186">
        <v>112</v>
      </c>
      <c r="P5" s="183">
        <v>8.7799999999999994</v>
      </c>
      <c r="Q5" s="187">
        <v>7.12</v>
      </c>
      <c r="R5" s="185">
        <f>Table3[[#This Row],[Net Gm]]*Table3[[#This Row],[Gold/gm]]</f>
        <v>797.44</v>
      </c>
      <c r="S5" s="188">
        <v>225</v>
      </c>
      <c r="T5" s="189">
        <f>20*J5</f>
        <v>166</v>
      </c>
      <c r="U5" s="168">
        <f>Table3[[#This Row],[Cert Exp]]+Table3[[#This Row],[Labour]]+Table3[[#This Row],[Gold Total]]+Table3[[#This Row],[Diam Total]]</f>
        <v>6375.9400000000005</v>
      </c>
    </row>
    <row r="6" spans="1:21" ht="16.95" customHeight="1" x14ac:dyDescent="0.25">
      <c r="A6" s="77"/>
      <c r="B6" s="190"/>
      <c r="C6" s="80"/>
      <c r="D6" s="191"/>
      <c r="E6" s="80"/>
      <c r="F6" s="192"/>
      <c r="G6" s="81"/>
      <c r="H6" s="83"/>
      <c r="I6" s="79"/>
      <c r="J6" s="83"/>
      <c r="K6" s="193"/>
      <c r="L6" s="79"/>
      <c r="M6" s="37"/>
      <c r="N6" s="194"/>
      <c r="O6" s="85"/>
      <c r="P6" s="83"/>
      <c r="Q6" s="86"/>
      <c r="R6" s="195"/>
      <c r="S6" s="195"/>
      <c r="T6" s="195"/>
      <c r="U6" s="131"/>
    </row>
    <row r="7" spans="1:21" ht="16.95" customHeight="1" x14ac:dyDescent="0.25">
      <c r="A7" s="196">
        <v>2</v>
      </c>
      <c r="B7" s="197"/>
      <c r="C7" s="198" t="s">
        <v>176</v>
      </c>
      <c r="D7" s="199" t="s">
        <v>19</v>
      </c>
      <c r="E7" s="198" t="s">
        <v>177</v>
      </c>
      <c r="F7" s="200" t="s">
        <v>178</v>
      </c>
      <c r="G7" s="201" t="s">
        <v>118</v>
      </c>
      <c r="H7" s="202">
        <f>Table3[[#This Row],[Diam Cts]]/Table3[[#This Row],[No.Pcs]]</f>
        <v>0.15810344827586206</v>
      </c>
      <c r="I7" s="203">
        <v>58</v>
      </c>
      <c r="J7" s="202">
        <v>9.17</v>
      </c>
      <c r="K7" s="204" t="s">
        <v>28</v>
      </c>
      <c r="L7" s="203" t="s">
        <v>23</v>
      </c>
      <c r="M7" s="154">
        <v>625</v>
      </c>
      <c r="N7" s="205">
        <f>Table3[[#This Row],[Per/ct2]]*Table3[[#This Row],[Diam Cts]]</f>
        <v>5731.25</v>
      </c>
      <c r="O7" s="206">
        <v>112</v>
      </c>
      <c r="P7" s="202">
        <v>17.27</v>
      </c>
      <c r="Q7" s="207">
        <v>15.436</v>
      </c>
      <c r="R7" s="205">
        <f>Table3[[#This Row],[Net Gm]]*Table3[[#This Row],[Gold/gm]]</f>
        <v>1728.8319999999999</v>
      </c>
      <c r="S7" s="208">
        <v>275</v>
      </c>
      <c r="T7" s="208">
        <f>19*Table3[[#This Row],[Diam Cts]]</f>
        <v>174.23</v>
      </c>
      <c r="U7" s="163">
        <f>Table3[[#This Row],[Cert Exp]]+Table3[[#This Row],[Labour]]+Table3[[#This Row],[Gold Total]]+Table3[[#This Row],[Diam Total]]</f>
        <v>7909.3119999999999</v>
      </c>
    </row>
    <row r="8" spans="1:21" ht="16.95" customHeight="1" x14ac:dyDescent="0.25">
      <c r="A8" s="77"/>
      <c r="B8" s="190"/>
      <c r="C8" s="80"/>
      <c r="D8" s="191"/>
      <c r="E8" s="80"/>
      <c r="F8" s="192"/>
      <c r="G8" s="81"/>
      <c r="H8" s="83"/>
      <c r="I8" s="79"/>
      <c r="J8" s="83"/>
      <c r="K8" s="193"/>
      <c r="L8" s="79"/>
      <c r="M8" s="37"/>
      <c r="N8" s="194"/>
      <c r="O8" s="85"/>
      <c r="P8" s="83"/>
      <c r="Q8" s="86"/>
      <c r="R8" s="195"/>
      <c r="S8" s="195"/>
      <c r="T8" s="195"/>
      <c r="U8" s="209"/>
    </row>
    <row r="9" spans="1:21" ht="16.95" customHeight="1" x14ac:dyDescent="0.25">
      <c r="A9" s="210">
        <v>3</v>
      </c>
      <c r="B9" s="211" t="s">
        <v>97</v>
      </c>
      <c r="C9" s="198" t="s">
        <v>102</v>
      </c>
      <c r="D9" s="199" t="s">
        <v>19</v>
      </c>
      <c r="E9" s="198" t="s">
        <v>103</v>
      </c>
      <c r="F9" s="200" t="s">
        <v>100</v>
      </c>
      <c r="G9" s="201" t="s">
        <v>36</v>
      </c>
      <c r="H9" s="202">
        <f>Table3[[#This Row],[Diam Cts]]/Table3[[#This Row],[No.Pcs]]</f>
        <v>0.23599999999999999</v>
      </c>
      <c r="I9" s="203">
        <v>40</v>
      </c>
      <c r="J9" s="202">
        <v>9.44</v>
      </c>
      <c r="K9" s="204" t="s">
        <v>37</v>
      </c>
      <c r="L9" s="203" t="s">
        <v>76</v>
      </c>
      <c r="M9" s="154">
        <v>725</v>
      </c>
      <c r="N9" s="205">
        <f>Table3[[#This Row],[Per/ct2]]*Table3[[#This Row],[Diam Cts]]</f>
        <v>6844</v>
      </c>
      <c r="O9" s="206">
        <v>112</v>
      </c>
      <c r="P9" s="202">
        <v>11.15</v>
      </c>
      <c r="Q9" s="207">
        <v>9.2620000000000005</v>
      </c>
      <c r="R9" s="205">
        <f>Table3[[#This Row],[Net Gm]]*Table3[[#This Row],[Gold/gm]]</f>
        <v>1037.3440000000001</v>
      </c>
      <c r="S9" s="208">
        <v>225</v>
      </c>
      <c r="T9" s="208">
        <f>20*J9</f>
        <v>188.79999999999998</v>
      </c>
      <c r="U9" s="162">
        <f>Table3[[#This Row],[Cert Exp]]+Table3[[#This Row],[Labour]]+Table3[[#This Row],[Gold Total]]+Table3[[#This Row],[Diam Total]]</f>
        <v>8295.1440000000002</v>
      </c>
    </row>
    <row r="10" spans="1:21" ht="16.95" customHeight="1" x14ac:dyDescent="0.25">
      <c r="A10" s="77"/>
      <c r="B10" s="212"/>
      <c r="C10" s="80"/>
      <c r="D10" s="213"/>
      <c r="E10" s="80"/>
      <c r="F10" s="192"/>
      <c r="G10" s="81"/>
      <c r="H10" s="83"/>
      <c r="I10" s="79"/>
      <c r="J10" s="83"/>
      <c r="K10" s="193"/>
      <c r="L10" s="79"/>
      <c r="M10" s="37"/>
      <c r="N10" s="194"/>
      <c r="O10" s="85"/>
      <c r="P10" s="83"/>
      <c r="Q10" s="86"/>
      <c r="R10" s="195"/>
      <c r="S10" s="195"/>
      <c r="T10" s="195"/>
      <c r="U10" s="209"/>
    </row>
    <row r="11" spans="1:21" ht="16.95" customHeight="1" x14ac:dyDescent="0.25">
      <c r="A11" s="91">
        <v>4</v>
      </c>
      <c r="B11" s="214"/>
      <c r="C11" s="67" t="s">
        <v>164</v>
      </c>
      <c r="D11" s="215" t="s">
        <v>19</v>
      </c>
      <c r="E11" s="67" t="s">
        <v>165</v>
      </c>
      <c r="F11" s="216" t="s">
        <v>100</v>
      </c>
      <c r="G11" s="38" t="s">
        <v>31</v>
      </c>
      <c r="H11" s="43">
        <f>Table3[[#This Row],[Diam Cts]]/Table3[[#This Row],[No.Pcs]]</f>
        <v>0.21291666666666667</v>
      </c>
      <c r="I11" s="40">
        <v>24</v>
      </c>
      <c r="J11" s="43">
        <v>5.1100000000000003</v>
      </c>
      <c r="K11" s="217" t="s">
        <v>37</v>
      </c>
      <c r="L11" s="40" t="s">
        <v>38</v>
      </c>
      <c r="M11" s="152">
        <v>625</v>
      </c>
      <c r="N11" s="41">
        <f>Table3[[#This Row],[Per/ct2]]*Table3[[#This Row],[Diam Cts]]</f>
        <v>3193.75</v>
      </c>
      <c r="O11" s="42"/>
      <c r="P11" s="43"/>
      <c r="Q11" s="70"/>
      <c r="R11" s="218"/>
      <c r="S11" s="218"/>
      <c r="T11" s="218"/>
      <c r="U11" s="219"/>
    </row>
    <row r="12" spans="1:21" ht="16.95" customHeight="1" x14ac:dyDescent="0.25">
      <c r="A12" s="5"/>
      <c r="B12" s="220"/>
      <c r="C12" s="28"/>
      <c r="D12" s="221"/>
      <c r="E12" s="28"/>
      <c r="F12" s="7" t="s">
        <v>166</v>
      </c>
      <c r="G12" s="9" t="s">
        <v>31</v>
      </c>
      <c r="H12" s="16">
        <f>Table3[[#This Row],[Diam Cts]]/Table3[[#This Row],[No.Pcs]]</f>
        <v>0.20916666666666664</v>
      </c>
      <c r="I12" s="11">
        <v>12</v>
      </c>
      <c r="J12" s="16">
        <v>2.5099999999999998</v>
      </c>
      <c r="K12" s="222" t="s">
        <v>22</v>
      </c>
      <c r="L12" s="11" t="s">
        <v>169</v>
      </c>
      <c r="M12" s="29">
        <v>675</v>
      </c>
      <c r="N12" s="14">
        <f>Table3[[#This Row],[Per/ct2]]*Table3[[#This Row],[Diam Cts]]</f>
        <v>1694.2499999999998</v>
      </c>
      <c r="O12" s="15"/>
      <c r="P12" s="16"/>
      <c r="Q12" s="19"/>
      <c r="R12" s="223"/>
      <c r="S12" s="223"/>
      <c r="T12" s="223"/>
      <c r="U12" s="224"/>
    </row>
    <row r="13" spans="1:21" ht="16.95" customHeight="1" x14ac:dyDescent="0.25">
      <c r="A13" s="225"/>
      <c r="B13" s="226"/>
      <c r="C13" s="155" t="s">
        <v>167</v>
      </c>
      <c r="D13" s="227"/>
      <c r="E13" s="72"/>
      <c r="F13" s="45" t="s">
        <v>168</v>
      </c>
      <c r="G13" s="73" t="s">
        <v>31</v>
      </c>
      <c r="H13" s="51">
        <f>Table3[[#This Row],[Diam Cts]]/Table3[[#This Row],[No.Pcs]]</f>
        <v>0.21333333333333335</v>
      </c>
      <c r="I13" s="47">
        <v>12</v>
      </c>
      <c r="J13" s="51">
        <v>2.56</v>
      </c>
      <c r="K13" s="228" t="s">
        <v>22</v>
      </c>
      <c r="L13" s="47" t="s">
        <v>170</v>
      </c>
      <c r="M13" s="153">
        <v>725</v>
      </c>
      <c r="N13" s="54">
        <f>Table3[[#This Row],[Per/ct2]]*Table3[[#This Row],[Diam Cts]]</f>
        <v>1856</v>
      </c>
      <c r="O13" s="55">
        <v>112</v>
      </c>
      <c r="P13" s="51">
        <v>11.25</v>
      </c>
      <c r="Q13" s="76">
        <v>9.2140000000000004</v>
      </c>
      <c r="R13" s="54">
        <f>Table3[[#This Row],[Net Gm]]*Table3[[#This Row],[Gold/gm]]</f>
        <v>1031.9680000000001</v>
      </c>
      <c r="S13" s="229">
        <v>225</v>
      </c>
      <c r="T13" s="229">
        <f>19*10.18</f>
        <v>193.42</v>
      </c>
      <c r="U13" s="164">
        <f>Table3[[#This Row],[Cert Exp]]+Table3[[#This Row],[Labour]]+Table3[[#This Row],[Gold Total]]+N11+N12+Table3[[#This Row],[Diam Total]]</f>
        <v>8194.387999999999</v>
      </c>
    </row>
    <row r="14" spans="1:21" ht="16.95" customHeight="1" x14ac:dyDescent="0.25">
      <c r="A14" s="77"/>
      <c r="B14" s="212"/>
      <c r="C14" s="80"/>
      <c r="D14" s="213"/>
      <c r="E14" s="80"/>
      <c r="F14" s="192"/>
      <c r="G14" s="81"/>
      <c r="H14" s="83"/>
      <c r="I14" s="79"/>
      <c r="J14" s="83"/>
      <c r="K14" s="193"/>
      <c r="L14" s="79"/>
      <c r="M14" s="37"/>
      <c r="N14" s="194"/>
      <c r="O14" s="85"/>
      <c r="P14" s="83"/>
      <c r="Q14" s="86"/>
      <c r="R14" s="195"/>
      <c r="S14" s="195"/>
      <c r="T14" s="195"/>
      <c r="U14" s="209"/>
    </row>
    <row r="15" spans="1:21" ht="16.95" customHeight="1" x14ac:dyDescent="0.25">
      <c r="A15" s="210">
        <v>5</v>
      </c>
      <c r="B15" s="230" t="s">
        <v>89</v>
      </c>
      <c r="C15" s="200" t="s">
        <v>162</v>
      </c>
      <c r="D15" s="199" t="s">
        <v>19</v>
      </c>
      <c r="E15" s="198" t="s">
        <v>163</v>
      </c>
      <c r="F15" s="200" t="s">
        <v>100</v>
      </c>
      <c r="G15" s="231" t="s">
        <v>36</v>
      </c>
      <c r="H15" s="202">
        <f>Table3[[#This Row],[Diam Cts]]/Table3[[#This Row],[No.Pcs]]</f>
        <v>0.24309523809523811</v>
      </c>
      <c r="I15" s="232">
        <v>42</v>
      </c>
      <c r="J15" s="202">
        <v>10.210000000000001</v>
      </c>
      <c r="K15" s="233" t="s">
        <v>37</v>
      </c>
      <c r="L15" s="232" t="s">
        <v>76</v>
      </c>
      <c r="M15" s="149">
        <v>725</v>
      </c>
      <c r="N15" s="205">
        <f>Table3[[#This Row],[Per/ct2]]*Table3[[#This Row],[Diam Cts]]</f>
        <v>7402.2500000000009</v>
      </c>
      <c r="O15" s="206">
        <v>112</v>
      </c>
      <c r="P15" s="234">
        <v>12.54</v>
      </c>
      <c r="Q15" s="235">
        <v>10.497999999999999</v>
      </c>
      <c r="R15" s="205">
        <f>Table3[[#This Row],[Net Gm]]*Table3[[#This Row],[Gold/gm]]</f>
        <v>1175.7759999999998</v>
      </c>
      <c r="S15" s="236">
        <v>225</v>
      </c>
      <c r="T15" s="237">
        <f>20*J15</f>
        <v>204.20000000000002</v>
      </c>
      <c r="U15" s="162">
        <f>Table3[[#This Row],[Cert Exp]]+Table3[[#This Row],[Labour]]+Table3[[#This Row],[Gold Total]]+Table3[[#This Row],[Diam Total]]</f>
        <v>9007.2260000000006</v>
      </c>
    </row>
    <row r="16" spans="1:21" ht="16.95" customHeight="1" x14ac:dyDescent="0.25">
      <c r="A16" s="58"/>
      <c r="B16" s="59"/>
      <c r="C16" s="60"/>
      <c r="D16" s="238"/>
      <c r="E16" s="59"/>
      <c r="F16" s="60"/>
      <c r="G16" s="60"/>
      <c r="H16" s="83"/>
      <c r="I16" s="59"/>
      <c r="J16" s="59"/>
      <c r="K16" s="59"/>
      <c r="L16" s="59"/>
      <c r="M16" s="150"/>
      <c r="N16" s="239"/>
      <c r="O16" s="59"/>
      <c r="P16" s="59"/>
      <c r="Q16" s="59"/>
      <c r="R16" s="59"/>
      <c r="S16" s="59"/>
      <c r="T16" s="59"/>
      <c r="U16" s="131"/>
    </row>
    <row r="17" spans="1:21" ht="16.95" customHeight="1" x14ac:dyDescent="0.25">
      <c r="A17" s="240">
        <v>6</v>
      </c>
      <c r="B17" s="214"/>
      <c r="C17" s="67" t="s">
        <v>171</v>
      </c>
      <c r="D17" s="215" t="s">
        <v>19</v>
      </c>
      <c r="E17" s="67" t="s">
        <v>172</v>
      </c>
      <c r="F17" s="216" t="s">
        <v>100</v>
      </c>
      <c r="G17" s="38" t="s">
        <v>31</v>
      </c>
      <c r="H17" s="43">
        <f>Table3[[#This Row],[Diam Cts]]/Table3[[#This Row],[No.Pcs]]</f>
        <v>0.1957777777777778</v>
      </c>
      <c r="I17" s="40">
        <v>45</v>
      </c>
      <c r="J17" s="43">
        <v>8.81</v>
      </c>
      <c r="K17" s="217" t="s">
        <v>37</v>
      </c>
      <c r="L17" s="40" t="s">
        <v>38</v>
      </c>
      <c r="M17" s="152">
        <v>625</v>
      </c>
      <c r="N17" s="41">
        <f>Table3[[#This Row],[Per/ct2]]*Table3[[#This Row],[Diam Cts]]</f>
        <v>5506.25</v>
      </c>
      <c r="O17" s="42"/>
      <c r="P17" s="43"/>
      <c r="Q17" s="70"/>
      <c r="R17" s="218"/>
      <c r="S17" s="218"/>
      <c r="T17" s="218"/>
      <c r="U17" s="241"/>
    </row>
    <row r="18" spans="1:21" ht="16.95" customHeight="1" x14ac:dyDescent="0.25">
      <c r="A18" s="225"/>
      <c r="B18" s="226"/>
      <c r="C18" s="155" t="s">
        <v>173</v>
      </c>
      <c r="D18" s="227"/>
      <c r="E18" s="72"/>
      <c r="F18" s="45" t="s">
        <v>174</v>
      </c>
      <c r="G18" s="73"/>
      <c r="H18" s="51">
        <f>Table3[[#This Row],[Diam Cts]]/Table3[[#This Row],[No.Pcs]]</f>
        <v>1.6111111111111111E-2</v>
      </c>
      <c r="I18" s="47">
        <v>180</v>
      </c>
      <c r="J18" s="51">
        <v>2.9</v>
      </c>
      <c r="K18" s="228" t="s">
        <v>37</v>
      </c>
      <c r="L18" s="47" t="s">
        <v>175</v>
      </c>
      <c r="M18" s="153">
        <v>525</v>
      </c>
      <c r="N18" s="54">
        <f>Table3[[#This Row],[Per/ct2]]*Table3[[#This Row],[Diam Cts]]</f>
        <v>1522.5</v>
      </c>
      <c r="O18" s="55">
        <v>112</v>
      </c>
      <c r="P18" s="51">
        <v>16.649999999999999</v>
      </c>
      <c r="Q18" s="76">
        <v>14.308</v>
      </c>
      <c r="R18" s="54">
        <f>Table3[[#This Row],[Net Gm]]*Table3[[#This Row],[Gold/gm]]</f>
        <v>1602.4960000000001</v>
      </c>
      <c r="S18" s="229">
        <v>350</v>
      </c>
      <c r="T18" s="229">
        <f>19*11.71</f>
        <v>222.49</v>
      </c>
      <c r="U18" s="164">
        <f>Table3[[#This Row],[Cert Exp]]+Table3[[#This Row],[Labour]]+Table3[[#This Row],[Gold Total]]+N17+Table3[[#This Row],[Diam Total]]</f>
        <v>9203.7360000000008</v>
      </c>
    </row>
    <row r="19" spans="1:21" ht="16.95" customHeight="1" x14ac:dyDescent="0.25">
      <c r="A19" s="77"/>
      <c r="B19" s="190"/>
      <c r="C19" s="80"/>
      <c r="D19" s="191"/>
      <c r="E19" s="80"/>
      <c r="F19" s="192"/>
      <c r="G19" s="81"/>
      <c r="H19" s="83"/>
      <c r="I19" s="79"/>
      <c r="J19" s="83"/>
      <c r="K19" s="193"/>
      <c r="L19" s="79"/>
      <c r="M19" s="37"/>
      <c r="N19" s="194"/>
      <c r="O19" s="85"/>
      <c r="P19" s="83"/>
      <c r="Q19" s="86"/>
      <c r="R19" s="195"/>
      <c r="S19" s="195"/>
      <c r="T19" s="195"/>
      <c r="U19" s="209"/>
    </row>
    <row r="20" spans="1:21" ht="16.95" customHeight="1" x14ac:dyDescent="0.25">
      <c r="A20" s="242">
        <v>7</v>
      </c>
      <c r="B20" s="214"/>
      <c r="C20" s="67" t="s">
        <v>179</v>
      </c>
      <c r="D20" s="215" t="s">
        <v>19</v>
      </c>
      <c r="E20" s="67" t="s">
        <v>180</v>
      </c>
      <c r="F20" s="216" t="s">
        <v>166</v>
      </c>
      <c r="G20" s="38" t="s">
        <v>65</v>
      </c>
      <c r="H20" s="43">
        <f>Table3[[#This Row],[Diam Cts]]/Table3[[#This Row],[No.Pcs]]</f>
        <v>0.39666666666666667</v>
      </c>
      <c r="I20" s="40">
        <v>15</v>
      </c>
      <c r="J20" s="43">
        <v>5.95</v>
      </c>
      <c r="K20" s="217" t="s">
        <v>28</v>
      </c>
      <c r="L20" s="40" t="s">
        <v>128</v>
      </c>
      <c r="M20" s="152">
        <v>875</v>
      </c>
      <c r="N20" s="41">
        <f>Table3[[#This Row],[Per/ct2]]*Table3[[#This Row],[Diam Cts]]</f>
        <v>5206.25</v>
      </c>
      <c r="O20" s="42"/>
      <c r="P20" s="43"/>
      <c r="Q20" s="70"/>
      <c r="R20" s="218"/>
      <c r="S20" s="218"/>
      <c r="T20" s="218"/>
      <c r="U20" s="219"/>
    </row>
    <row r="21" spans="1:21" ht="16.95" customHeight="1" x14ac:dyDescent="0.25">
      <c r="A21" s="243"/>
      <c r="B21" s="226"/>
      <c r="C21" s="155" t="s">
        <v>181</v>
      </c>
      <c r="D21" s="227"/>
      <c r="E21" s="72"/>
      <c r="F21" s="45" t="s">
        <v>166</v>
      </c>
      <c r="G21" s="73" t="s">
        <v>36</v>
      </c>
      <c r="H21" s="51">
        <f>Table3[[#This Row],[Diam Cts]]/Table3[[#This Row],[No.Pcs]]</f>
        <v>0.23857142857142857</v>
      </c>
      <c r="I21" s="47">
        <v>28</v>
      </c>
      <c r="J21" s="51">
        <v>6.68</v>
      </c>
      <c r="K21" s="228" t="s">
        <v>28</v>
      </c>
      <c r="L21" s="47" t="s">
        <v>182</v>
      </c>
      <c r="M21" s="153">
        <v>675</v>
      </c>
      <c r="N21" s="54">
        <f>Table3[[#This Row],[Per/ct2]]*Table3[[#This Row],[Diam Cts]]</f>
        <v>4509</v>
      </c>
      <c r="O21" s="55">
        <v>112</v>
      </c>
      <c r="P21" s="51">
        <v>15.15</v>
      </c>
      <c r="Q21" s="76">
        <v>12.624000000000001</v>
      </c>
      <c r="R21" s="54">
        <f>Table3[[#This Row],[Net Gm]]*Table3[[#This Row],[Gold/gm]]</f>
        <v>1413.8880000000001</v>
      </c>
      <c r="S21" s="229">
        <v>225</v>
      </c>
      <c r="T21" s="229">
        <f>19*12.63</f>
        <v>239.97000000000003</v>
      </c>
      <c r="U21" s="165">
        <f>Table3[[#This Row],[Cert Exp]]+Table3[[#This Row],[Labour]]+Table3[[#This Row],[Gold Total]]+N20+Table3[[#This Row],[Diam Total]]</f>
        <v>11594.108</v>
      </c>
    </row>
    <row r="22" spans="1:21" ht="16.95" customHeight="1" x14ac:dyDescent="0.25">
      <c r="A22" s="77"/>
      <c r="B22" s="190"/>
      <c r="C22" s="80"/>
      <c r="D22" s="191"/>
      <c r="E22" s="80"/>
      <c r="F22" s="192"/>
      <c r="G22" s="81"/>
      <c r="H22" s="83"/>
      <c r="I22" s="79"/>
      <c r="J22" s="83"/>
      <c r="K22" s="193"/>
      <c r="L22" s="79"/>
      <c r="M22" s="37"/>
      <c r="N22" s="194"/>
      <c r="O22" s="85"/>
      <c r="P22" s="83"/>
      <c r="Q22" s="86"/>
      <c r="R22" s="195"/>
      <c r="S22" s="195"/>
      <c r="T22" s="195"/>
      <c r="U22" s="209"/>
    </row>
    <row r="23" spans="1:21" ht="16.95" customHeight="1" x14ac:dyDescent="0.25">
      <c r="A23" s="244">
        <v>8</v>
      </c>
      <c r="B23" s="230" t="s">
        <v>97</v>
      </c>
      <c r="C23" s="200" t="s">
        <v>98</v>
      </c>
      <c r="D23" s="199" t="s">
        <v>19</v>
      </c>
      <c r="E23" s="198" t="s">
        <v>104</v>
      </c>
      <c r="F23" s="200" t="s">
        <v>100</v>
      </c>
      <c r="G23" s="231" t="s">
        <v>36</v>
      </c>
      <c r="H23" s="202">
        <f>Table3[[#This Row],[Diam Cts]]/Table3[[#This Row],[No.Pcs]]</f>
        <v>0.2523636363636364</v>
      </c>
      <c r="I23" s="232">
        <v>55</v>
      </c>
      <c r="J23" s="203">
        <v>13.88</v>
      </c>
      <c r="K23" s="233" t="s">
        <v>37</v>
      </c>
      <c r="L23" s="232" t="s">
        <v>76</v>
      </c>
      <c r="M23" s="149">
        <v>725</v>
      </c>
      <c r="N23" s="205">
        <f>Table3[[#This Row],[Per/ct2]]*Table3[[#This Row],[Diam Cts]]</f>
        <v>10063</v>
      </c>
      <c r="O23" s="206">
        <v>112</v>
      </c>
      <c r="P23" s="234">
        <v>16.579999999999998</v>
      </c>
      <c r="Q23" s="235">
        <v>13.805999999999999</v>
      </c>
      <c r="R23" s="205">
        <f>Table3[[#This Row],[Net Gm]]*Table3[[#This Row],[Gold/gm]]</f>
        <v>1546.2719999999999</v>
      </c>
      <c r="S23" s="236">
        <v>225</v>
      </c>
      <c r="T23" s="237">
        <f>20*J23</f>
        <v>277.60000000000002</v>
      </c>
      <c r="U23" s="162">
        <f>Table3[[#This Row],[Cert Exp]]+Table3[[#This Row],[Labour]]+Table3[[#This Row],[Gold Total]]+Table3[[#This Row],[Diam Total]]</f>
        <v>12111.871999999999</v>
      </c>
    </row>
    <row r="24" spans="1:21" ht="16.95" customHeight="1" x14ac:dyDescent="0.25">
      <c r="A24" s="245"/>
      <c r="B24" s="246"/>
      <c r="C24" s="192"/>
      <c r="D24" s="213"/>
      <c r="E24" s="80"/>
      <c r="F24" s="192"/>
      <c r="G24" s="247"/>
      <c r="H24" s="83"/>
      <c r="I24" s="248"/>
      <c r="J24" s="79"/>
      <c r="K24" s="249"/>
      <c r="L24" s="79"/>
      <c r="M24" s="145"/>
      <c r="N24" s="194"/>
      <c r="O24" s="85"/>
      <c r="P24" s="250"/>
      <c r="Q24" s="251"/>
      <c r="R24" s="194"/>
      <c r="S24" s="252"/>
      <c r="T24" s="253"/>
      <c r="U24" s="254"/>
    </row>
    <row r="25" spans="1:21" ht="16.95" customHeight="1" x14ac:dyDescent="0.25">
      <c r="A25" s="244">
        <v>9</v>
      </c>
      <c r="B25" s="230" t="s">
        <v>105</v>
      </c>
      <c r="C25" s="200" t="s">
        <v>98</v>
      </c>
      <c r="D25" s="255" t="s">
        <v>106</v>
      </c>
      <c r="E25" s="198" t="s">
        <v>107</v>
      </c>
      <c r="F25" s="200" t="s">
        <v>100</v>
      </c>
      <c r="G25" s="231" t="s">
        <v>40</v>
      </c>
      <c r="H25" s="202">
        <f>Table3[[#This Row],[Diam Cts]]/Table3[[#This Row],[No.Pcs]]</f>
        <v>0.35416666666666669</v>
      </c>
      <c r="I25" s="232">
        <v>48</v>
      </c>
      <c r="J25" s="202">
        <v>17</v>
      </c>
      <c r="K25" s="233" t="s">
        <v>108</v>
      </c>
      <c r="L25" s="232" t="s">
        <v>156</v>
      </c>
      <c r="M25" s="149">
        <v>875</v>
      </c>
      <c r="N25" s="205">
        <f>Table3[[#This Row],[Per/ct2]]*Table3[[#This Row],[Diam Cts]]</f>
        <v>14875</v>
      </c>
      <c r="O25" s="206">
        <v>112</v>
      </c>
      <c r="P25" s="234">
        <v>21.6</v>
      </c>
      <c r="Q25" s="235">
        <v>18.2</v>
      </c>
      <c r="R25" s="205">
        <f>Table3[[#This Row],[Net Gm]]*Table3[[#This Row],[Gold/gm]]</f>
        <v>2038.3999999999999</v>
      </c>
      <c r="S25" s="236">
        <v>475</v>
      </c>
      <c r="T25" s="237">
        <v>0</v>
      </c>
      <c r="U25" s="162">
        <f>Table3[[#This Row],[Cert Exp]]+Table3[[#This Row],[Labour]]+Table3[[#This Row],[Gold Total]]+Table3[[#This Row],[Diam Total]]</f>
        <v>17388.400000000001</v>
      </c>
    </row>
    <row r="26" spans="1:21" ht="16.95" customHeight="1" x14ac:dyDescent="0.25">
      <c r="A26" s="58"/>
      <c r="B26" s="59"/>
      <c r="C26" s="60"/>
      <c r="D26" s="238"/>
      <c r="E26" s="60"/>
      <c r="F26" s="60"/>
      <c r="G26" s="60"/>
      <c r="H26" s="83"/>
      <c r="I26" s="59"/>
      <c r="J26" s="59"/>
      <c r="K26" s="59"/>
      <c r="L26" s="59"/>
      <c r="M26" s="150"/>
      <c r="N26" s="239"/>
      <c r="O26" s="59"/>
      <c r="P26" s="59"/>
      <c r="Q26" s="59"/>
      <c r="R26" s="59"/>
      <c r="S26" s="59"/>
      <c r="T26" s="59"/>
      <c r="U26" s="131"/>
    </row>
    <row r="27" spans="1:21" ht="16.95" customHeight="1" x14ac:dyDescent="0.25">
      <c r="A27" s="256">
        <v>10</v>
      </c>
      <c r="B27" s="257" t="s">
        <v>97</v>
      </c>
      <c r="C27" s="216" t="s">
        <v>109</v>
      </c>
      <c r="D27" s="215" t="s">
        <v>19</v>
      </c>
      <c r="E27" s="67" t="s">
        <v>110</v>
      </c>
      <c r="F27" s="216" t="s">
        <v>100</v>
      </c>
      <c r="G27" s="258" t="s">
        <v>36</v>
      </c>
      <c r="H27" s="43">
        <f>Table3[[#This Row],[Diam Cts]]/Table3[[#This Row],[No.Pcs]]</f>
        <v>0.2609433962264151</v>
      </c>
      <c r="I27" s="259">
        <v>53</v>
      </c>
      <c r="J27" s="40">
        <v>13.83</v>
      </c>
      <c r="K27" s="260" t="s">
        <v>37</v>
      </c>
      <c r="L27" s="259" t="s">
        <v>76</v>
      </c>
      <c r="M27" s="143">
        <v>725</v>
      </c>
      <c r="N27" s="41">
        <f>Table3[[#This Row],[Per/ct2]]*Table3[[#This Row],[Diam Cts]]</f>
        <v>10026.75</v>
      </c>
      <c r="O27" s="261"/>
      <c r="P27" s="39"/>
      <c r="Q27" s="262"/>
      <c r="R27" s="263"/>
      <c r="S27" s="263"/>
      <c r="T27" s="261"/>
      <c r="U27" s="264"/>
    </row>
    <row r="28" spans="1:21" ht="16.95" customHeight="1" x14ac:dyDescent="0.25">
      <c r="A28" s="92"/>
      <c r="B28" s="50"/>
      <c r="C28" s="148" t="s">
        <v>111</v>
      </c>
      <c r="D28" s="265"/>
      <c r="E28" s="72"/>
      <c r="F28" s="45" t="s">
        <v>100</v>
      </c>
      <c r="G28" s="48" t="s">
        <v>112</v>
      </c>
      <c r="H28" s="51">
        <f>Table3[[#This Row],[Diam Cts]]/Table3[[#This Row],[No.Pcs]]</f>
        <v>8.990566037735849E-2</v>
      </c>
      <c r="I28" s="50">
        <v>106</v>
      </c>
      <c r="J28" s="47">
        <v>9.5299999999999994</v>
      </c>
      <c r="K28" s="266" t="s">
        <v>37</v>
      </c>
      <c r="L28" s="50" t="s">
        <v>84</v>
      </c>
      <c r="M28" s="144">
        <v>525</v>
      </c>
      <c r="N28" s="54">
        <f>Table3[[#This Row],[Per/ct2]]*Table3[[#This Row],[Diam Cts]]</f>
        <v>5003.25</v>
      </c>
      <c r="O28" s="55">
        <v>112</v>
      </c>
      <c r="P28" s="49">
        <v>29.09</v>
      </c>
      <c r="Q28" s="56">
        <v>24.417999999999999</v>
      </c>
      <c r="R28" s="54">
        <f>Table3[[#This Row],[Net Gm]]*Table3[[#This Row],[Gold/gm]]</f>
        <v>2734.8159999999998</v>
      </c>
      <c r="S28" s="57">
        <v>550</v>
      </c>
      <c r="T28" s="267">
        <f>20*23.36</f>
        <v>467.2</v>
      </c>
      <c r="U28" s="137">
        <f>Table3[[#This Row],[Cert Exp]]+Table3[[#This Row],[Labour]]+Table3[[#This Row],[Gold Total]]+N27+Table3[[#This Row],[Diam Total]]</f>
        <v>18782.016</v>
      </c>
    </row>
    <row r="29" spans="1:21" ht="16.95" customHeight="1" x14ac:dyDescent="0.25">
      <c r="A29" s="268"/>
      <c r="B29" s="190"/>
      <c r="C29" s="190"/>
      <c r="D29" s="238"/>
      <c r="E29" s="190"/>
      <c r="F29" s="190"/>
      <c r="G29" s="190"/>
      <c r="H29" s="83"/>
      <c r="I29" s="190"/>
      <c r="J29" s="190"/>
      <c r="K29" s="190"/>
      <c r="L29" s="190"/>
      <c r="M29" s="151"/>
      <c r="N29" s="269"/>
      <c r="O29" s="190"/>
      <c r="P29" s="190"/>
      <c r="Q29" s="190"/>
      <c r="R29" s="190"/>
      <c r="S29" s="190"/>
      <c r="T29" s="190"/>
      <c r="U29" s="270"/>
    </row>
    <row r="30" spans="1:21" ht="16.95" customHeight="1" x14ac:dyDescent="0.25">
      <c r="A30" s="91">
        <v>11</v>
      </c>
      <c r="B30" s="142" t="s">
        <v>62</v>
      </c>
      <c r="C30" s="67" t="s">
        <v>113</v>
      </c>
      <c r="D30" s="215" t="s">
        <v>19</v>
      </c>
      <c r="E30" s="67" t="s">
        <v>114</v>
      </c>
      <c r="F30" s="216" t="s">
        <v>100</v>
      </c>
      <c r="G30" s="38" t="s">
        <v>64</v>
      </c>
      <c r="H30" s="43">
        <f>Table3[[#This Row],[Diam Cts]]/Table3[[#This Row],[No.Pcs]]</f>
        <v>0.5116666666666666</v>
      </c>
      <c r="I30" s="40">
        <v>6</v>
      </c>
      <c r="J30" s="43">
        <v>3.07</v>
      </c>
      <c r="K30" s="217" t="s">
        <v>28</v>
      </c>
      <c r="L30" s="40" t="s">
        <v>141</v>
      </c>
      <c r="M30" s="152">
        <v>1150</v>
      </c>
      <c r="N30" s="41">
        <f>Table3[[#This Row],[Per/ct2]]*Table3[[#This Row],[Diam Cts]]</f>
        <v>3530.5</v>
      </c>
      <c r="O30" s="42"/>
      <c r="P30" s="43"/>
      <c r="Q30" s="70"/>
      <c r="R30" s="218"/>
      <c r="S30" s="218"/>
      <c r="T30" s="218"/>
      <c r="U30" s="271"/>
    </row>
    <row r="31" spans="1:21" ht="16.95" customHeight="1" x14ac:dyDescent="0.25">
      <c r="A31" s="5"/>
      <c r="B31" s="220"/>
      <c r="C31" s="97" t="s">
        <v>115</v>
      </c>
      <c r="D31" s="272" t="s">
        <v>116</v>
      </c>
      <c r="E31" s="28"/>
      <c r="F31" s="7" t="s">
        <v>100</v>
      </c>
      <c r="G31" s="9" t="s">
        <v>65</v>
      </c>
      <c r="H31" s="16">
        <f>Table3[[#This Row],[Diam Cts]]/Table3[[#This Row],[No.Pcs]]</f>
        <v>0.38</v>
      </c>
      <c r="I31" s="11">
        <v>1</v>
      </c>
      <c r="J31" s="16">
        <v>0.38</v>
      </c>
      <c r="K31" s="222"/>
      <c r="L31" s="11" t="s">
        <v>157</v>
      </c>
      <c r="M31" s="29">
        <v>925</v>
      </c>
      <c r="N31" s="14">
        <f>Table3[[#This Row],[Per/ct2]]*Table3[[#This Row],[Diam Cts]]</f>
        <v>351.5</v>
      </c>
      <c r="O31" s="15"/>
      <c r="P31" s="16"/>
      <c r="Q31" s="19"/>
      <c r="R31" s="223"/>
      <c r="S31" s="223"/>
      <c r="T31" s="223"/>
      <c r="U31" s="273"/>
    </row>
    <row r="32" spans="1:21" ht="16.95" customHeight="1" x14ac:dyDescent="0.25">
      <c r="A32" s="5"/>
      <c r="B32" s="220"/>
      <c r="C32" s="28" t="s">
        <v>117</v>
      </c>
      <c r="D32" s="274"/>
      <c r="E32" s="28"/>
      <c r="F32" s="7" t="s">
        <v>100</v>
      </c>
      <c r="G32" s="9" t="s">
        <v>40</v>
      </c>
      <c r="H32" s="16">
        <f>Table3[[#This Row],[Diam Cts]]/Table3[[#This Row],[No.Pcs]]</f>
        <v>0.31111111111111112</v>
      </c>
      <c r="I32" s="11">
        <v>9</v>
      </c>
      <c r="J32" s="16">
        <v>2.8</v>
      </c>
      <c r="K32" s="222"/>
      <c r="L32" s="11" t="s">
        <v>158</v>
      </c>
      <c r="M32" s="29">
        <v>825</v>
      </c>
      <c r="N32" s="14">
        <f>Table3[[#This Row],[Per/ct2]]*Table3[[#This Row],[Diam Cts]]</f>
        <v>2310</v>
      </c>
      <c r="O32" s="15"/>
      <c r="P32" s="16"/>
      <c r="Q32" s="19"/>
      <c r="R32" s="223"/>
      <c r="S32" s="223"/>
      <c r="T32" s="223"/>
      <c r="U32" s="273"/>
    </row>
    <row r="33" spans="1:21" ht="16.95" customHeight="1" x14ac:dyDescent="0.25">
      <c r="A33" s="5"/>
      <c r="B33" s="220"/>
      <c r="C33" s="28"/>
      <c r="D33" s="274"/>
      <c r="E33" s="28"/>
      <c r="F33" s="7" t="s">
        <v>100</v>
      </c>
      <c r="G33" s="9" t="s">
        <v>36</v>
      </c>
      <c r="H33" s="16">
        <f>Table3[[#This Row],[Diam Cts]]/Table3[[#This Row],[No.Pcs]]</f>
        <v>0.24</v>
      </c>
      <c r="I33" s="11">
        <v>5</v>
      </c>
      <c r="J33" s="16">
        <v>1.2</v>
      </c>
      <c r="K33" s="222"/>
      <c r="L33" s="11" t="s">
        <v>75</v>
      </c>
      <c r="M33" s="29">
        <v>725</v>
      </c>
      <c r="N33" s="14">
        <f>Table3[[#This Row],[Per/ct2]]*Table3[[#This Row],[Diam Cts]]</f>
        <v>870</v>
      </c>
      <c r="O33" s="15"/>
      <c r="P33" s="16"/>
      <c r="Q33" s="19"/>
      <c r="R33" s="223"/>
      <c r="S33" s="223"/>
      <c r="T33" s="223"/>
      <c r="U33" s="273"/>
    </row>
    <row r="34" spans="1:21" ht="16.95" customHeight="1" x14ac:dyDescent="0.25">
      <c r="A34" s="5"/>
      <c r="B34" s="220"/>
      <c r="C34" s="28"/>
      <c r="D34" s="274"/>
      <c r="E34" s="28"/>
      <c r="F34" s="7" t="s">
        <v>100</v>
      </c>
      <c r="G34" s="9" t="s">
        <v>31</v>
      </c>
      <c r="H34" s="16">
        <f>Table3[[#This Row],[Diam Cts]]/Table3[[#This Row],[No.Pcs]]</f>
        <v>0.19791666666666666</v>
      </c>
      <c r="I34" s="11">
        <v>24</v>
      </c>
      <c r="J34" s="16">
        <v>4.75</v>
      </c>
      <c r="K34" s="222"/>
      <c r="L34" s="11" t="s">
        <v>76</v>
      </c>
      <c r="M34" s="29">
        <v>625</v>
      </c>
      <c r="N34" s="14">
        <f>Table3[[#This Row],[Per/ct2]]*Table3[[#This Row],[Diam Cts]]</f>
        <v>2968.75</v>
      </c>
      <c r="O34" s="15"/>
      <c r="P34" s="16"/>
      <c r="Q34" s="19"/>
      <c r="R34" s="223"/>
      <c r="S34" s="223"/>
      <c r="T34" s="223"/>
      <c r="U34" s="273"/>
    </row>
    <row r="35" spans="1:21" ht="16.95" customHeight="1" x14ac:dyDescent="0.25">
      <c r="A35" s="5"/>
      <c r="B35" s="220"/>
      <c r="C35" s="28"/>
      <c r="D35" s="274"/>
      <c r="E35" s="28"/>
      <c r="F35" s="7" t="s">
        <v>100</v>
      </c>
      <c r="G35" s="9" t="s">
        <v>118</v>
      </c>
      <c r="H35" s="16">
        <f>Table3[[#This Row],[Diam Cts]]/Table3[[#This Row],[No.Pcs]]</f>
        <v>0.13999999999999999</v>
      </c>
      <c r="I35" s="11">
        <v>3</v>
      </c>
      <c r="J35" s="16">
        <v>0.42</v>
      </c>
      <c r="K35" s="222"/>
      <c r="L35" s="11" t="s">
        <v>77</v>
      </c>
      <c r="M35" s="29">
        <v>575</v>
      </c>
      <c r="N35" s="14">
        <f>Table3[[#This Row],[Per/ct2]]*Table3[[#This Row],[Diam Cts]]</f>
        <v>241.5</v>
      </c>
      <c r="O35" s="15"/>
      <c r="P35" s="16"/>
      <c r="Q35" s="19"/>
      <c r="R35" s="223"/>
      <c r="S35" s="223"/>
      <c r="T35" s="223"/>
      <c r="U35" s="273"/>
    </row>
    <row r="36" spans="1:21" ht="16.95" customHeight="1" x14ac:dyDescent="0.25">
      <c r="A36" s="5"/>
      <c r="B36" s="220"/>
      <c r="C36" s="28"/>
      <c r="D36" s="274"/>
      <c r="E36" s="28"/>
      <c r="F36" s="7" t="s">
        <v>100</v>
      </c>
      <c r="G36" s="9" t="s">
        <v>112</v>
      </c>
      <c r="H36" s="16">
        <f>Table3[[#This Row],[Diam Cts]]/Table3[[#This Row],[No.Pcs]]</f>
        <v>0.11077464788732394</v>
      </c>
      <c r="I36" s="11">
        <v>142</v>
      </c>
      <c r="J36" s="16">
        <v>15.73</v>
      </c>
      <c r="K36" s="222"/>
      <c r="L36" s="11" t="s">
        <v>159</v>
      </c>
      <c r="M36" s="29">
        <v>525</v>
      </c>
      <c r="N36" s="14">
        <f>Table3[[#This Row],[Per/ct2]]*Table3[[#This Row],[Diam Cts]]</f>
        <v>8258.25</v>
      </c>
      <c r="O36" s="15"/>
      <c r="P36" s="16"/>
      <c r="Q36" s="17"/>
      <c r="R36" s="275"/>
      <c r="S36" s="223"/>
      <c r="T36" s="223"/>
      <c r="U36" s="273"/>
    </row>
    <row r="37" spans="1:21" ht="16.95" customHeight="1" x14ac:dyDescent="0.25">
      <c r="A37" s="5"/>
      <c r="B37" s="220"/>
      <c r="C37" s="28"/>
      <c r="D37" s="274"/>
      <c r="E37" s="28"/>
      <c r="F37" s="7" t="s">
        <v>100</v>
      </c>
      <c r="G37" s="9" t="s">
        <v>119</v>
      </c>
      <c r="H37" s="16">
        <f>Table3[[#This Row],[Diam Cts]]/Table3[[#This Row],[No.Pcs]]</f>
        <v>7.4999999999999997E-3</v>
      </c>
      <c r="I37" s="11">
        <v>8</v>
      </c>
      <c r="J37" s="16">
        <v>0.06</v>
      </c>
      <c r="K37" s="222"/>
      <c r="L37" s="11" t="s">
        <v>160</v>
      </c>
      <c r="M37" s="29">
        <v>450</v>
      </c>
      <c r="N37" s="14">
        <f>Table3[[#This Row],[Per/ct2]]*Table3[[#This Row],[Diam Cts]]</f>
        <v>27</v>
      </c>
      <c r="O37" s="15"/>
      <c r="P37" s="16"/>
      <c r="Q37" s="19"/>
      <c r="R37" s="223"/>
      <c r="S37" s="223"/>
      <c r="T37" s="223"/>
      <c r="U37" s="273"/>
    </row>
    <row r="38" spans="1:21" ht="16.95" customHeight="1" x14ac:dyDescent="0.25">
      <c r="A38" s="93"/>
      <c r="B38" s="226"/>
      <c r="C38" s="72" t="s">
        <v>120</v>
      </c>
      <c r="D38" s="276"/>
      <c r="E38" s="72"/>
      <c r="F38" s="45" t="s">
        <v>100</v>
      </c>
      <c r="G38" s="73" t="s">
        <v>121</v>
      </c>
      <c r="H38" s="51">
        <f>Table3[[#This Row],[Diam Cts]]/Table3[[#This Row],[No.Pcs]]</f>
        <v>13.63</v>
      </c>
      <c r="I38" s="47">
        <v>1</v>
      </c>
      <c r="J38" s="51">
        <v>13.63</v>
      </c>
      <c r="K38" s="228"/>
      <c r="L38" s="47" t="s">
        <v>161</v>
      </c>
      <c r="M38" s="153">
        <v>475</v>
      </c>
      <c r="N38" s="54">
        <f>Table3[[#This Row],[Per/ct2]]*Table3[[#This Row],[Diam Cts]]</f>
        <v>6474.25</v>
      </c>
      <c r="O38" s="55">
        <v>112</v>
      </c>
      <c r="P38" s="51">
        <v>51.69</v>
      </c>
      <c r="Q38" s="89">
        <v>43.281999999999996</v>
      </c>
      <c r="R38" s="54">
        <f>Table3[[#This Row],[Net Gm]]*Table3[[#This Row],[Gold/gm]]</f>
        <v>4847.5839999999998</v>
      </c>
      <c r="S38" s="229">
        <v>750</v>
      </c>
      <c r="T38" s="229">
        <f>20*28.41</f>
        <v>568.20000000000005</v>
      </c>
      <c r="U38" s="166">
        <f>Table3[[#This Row],[Cert Exp]]+Table3[[#This Row],[Labour]]+Table3[[#This Row],[Gold Total]]+N30+N31+N32+N33+N34+N35+N36+N37+Table3[[#This Row],[Diam Total]]</f>
        <v>31197.534</v>
      </c>
    </row>
    <row r="39" spans="1:21" ht="16.95" customHeight="1" x14ac:dyDescent="0.25">
      <c r="A39" s="77"/>
      <c r="B39" s="190"/>
      <c r="C39" s="80"/>
      <c r="D39" s="277"/>
      <c r="E39" s="80"/>
      <c r="F39" s="83"/>
      <c r="G39" s="81"/>
      <c r="H39" s="83"/>
      <c r="I39" s="79"/>
      <c r="J39" s="83"/>
      <c r="K39" s="193"/>
      <c r="L39" s="79"/>
      <c r="M39" s="37"/>
      <c r="N39" s="195"/>
      <c r="O39" s="85"/>
      <c r="P39" s="83"/>
      <c r="Q39" s="86"/>
      <c r="R39" s="195"/>
      <c r="S39" s="195"/>
      <c r="T39" s="195"/>
      <c r="U39" s="209"/>
    </row>
    <row r="40" spans="1:21" ht="16.95" customHeight="1" x14ac:dyDescent="0.25">
      <c r="A40" s="91">
        <v>12</v>
      </c>
      <c r="B40" s="142" t="s">
        <v>62</v>
      </c>
      <c r="C40" s="67" t="s">
        <v>122</v>
      </c>
      <c r="D40" s="278" t="s">
        <v>123</v>
      </c>
      <c r="E40" s="67">
        <v>6422870950</v>
      </c>
      <c r="F40" s="216" t="s">
        <v>100</v>
      </c>
      <c r="G40" s="38" t="s">
        <v>53</v>
      </c>
      <c r="H40" s="43">
        <f>Table3[[#This Row],[Diam Cts]]/Table3[[#This Row],[No.Pcs]]</f>
        <v>1</v>
      </c>
      <c r="I40" s="40">
        <v>1</v>
      </c>
      <c r="J40" s="43">
        <v>1</v>
      </c>
      <c r="K40" s="217" t="s">
        <v>124</v>
      </c>
      <c r="L40" s="40" t="s">
        <v>143</v>
      </c>
      <c r="M40" s="152">
        <v>2550</v>
      </c>
      <c r="N40" s="41">
        <f>Table3[[#This Row],[Per/ct2]]*Table3[[#This Row],[Diam Cts]]</f>
        <v>2550</v>
      </c>
      <c r="O40" s="42"/>
      <c r="P40" s="43"/>
      <c r="Q40" s="70"/>
      <c r="R40" s="218"/>
      <c r="S40" s="218"/>
      <c r="T40" s="218"/>
      <c r="U40" s="271"/>
    </row>
    <row r="41" spans="1:21" ht="16.95" customHeight="1" x14ac:dyDescent="0.25">
      <c r="A41" s="5"/>
      <c r="B41" s="220"/>
      <c r="C41" s="97" t="s">
        <v>125</v>
      </c>
      <c r="D41" s="279" t="s">
        <v>123</v>
      </c>
      <c r="E41" s="28">
        <v>7513791138</v>
      </c>
      <c r="F41" s="7" t="s">
        <v>100</v>
      </c>
      <c r="G41" s="9" t="s">
        <v>126</v>
      </c>
      <c r="H41" s="16">
        <f>Table3[[#This Row],[Diam Cts]]/Table3[[#This Row],[No.Pcs]]</f>
        <v>0.7</v>
      </c>
      <c r="I41" s="11">
        <v>1</v>
      </c>
      <c r="J41" s="16">
        <v>0.7</v>
      </c>
      <c r="K41" s="222" t="s">
        <v>127</v>
      </c>
      <c r="L41" s="11" t="s">
        <v>144</v>
      </c>
      <c r="M41" s="29">
        <v>1475</v>
      </c>
      <c r="N41" s="14">
        <f>Table3[[#This Row],[Per/ct2]]*Table3[[#This Row],[Diam Cts]]</f>
        <v>1032.5</v>
      </c>
      <c r="O41" s="15"/>
      <c r="P41" s="16"/>
      <c r="Q41" s="19"/>
      <c r="R41" s="223"/>
      <c r="S41" s="223"/>
      <c r="T41" s="223"/>
      <c r="U41" s="273"/>
    </row>
    <row r="42" spans="1:21" ht="16.95" customHeight="1" x14ac:dyDescent="0.25">
      <c r="A42" s="5"/>
      <c r="B42" s="220"/>
      <c r="C42" s="28" t="s">
        <v>128</v>
      </c>
      <c r="D42" s="279" t="s">
        <v>123</v>
      </c>
      <c r="E42" s="28">
        <v>6512328291</v>
      </c>
      <c r="F42" s="7" t="s">
        <v>100</v>
      </c>
      <c r="G42" s="9" t="s">
        <v>126</v>
      </c>
      <c r="H42" s="16">
        <f>Table3[[#This Row],[Diam Cts]]/Table3[[#This Row],[No.Pcs]]</f>
        <v>0.7</v>
      </c>
      <c r="I42" s="11">
        <v>1</v>
      </c>
      <c r="J42" s="16">
        <v>0.7</v>
      </c>
      <c r="K42" s="222" t="s">
        <v>129</v>
      </c>
      <c r="L42" s="11" t="s">
        <v>145</v>
      </c>
      <c r="M42" s="29">
        <v>1550</v>
      </c>
      <c r="N42" s="14">
        <f>Table3[[#This Row],[Per/ct2]]*Table3[[#This Row],[Diam Cts]]</f>
        <v>1085</v>
      </c>
      <c r="O42" s="15"/>
      <c r="P42" s="16"/>
      <c r="Q42" s="19"/>
      <c r="R42" s="223"/>
      <c r="S42" s="223"/>
      <c r="T42" s="223"/>
      <c r="U42" s="273"/>
    </row>
    <row r="43" spans="1:21" ht="16.95" customHeight="1" x14ac:dyDescent="0.25">
      <c r="A43" s="5"/>
      <c r="B43" s="220"/>
      <c r="C43" s="28"/>
      <c r="D43" s="279" t="s">
        <v>123</v>
      </c>
      <c r="E43" s="28">
        <v>1518607128</v>
      </c>
      <c r="F43" s="7" t="s">
        <v>100</v>
      </c>
      <c r="G43" s="9" t="s">
        <v>130</v>
      </c>
      <c r="H43" s="16">
        <f>Table3[[#This Row],[Diam Cts]]/Table3[[#This Row],[No.Pcs]]</f>
        <v>0.61</v>
      </c>
      <c r="I43" s="11">
        <v>1</v>
      </c>
      <c r="J43" s="16">
        <v>0.61</v>
      </c>
      <c r="K43" s="222" t="s">
        <v>127</v>
      </c>
      <c r="L43" s="11" t="s">
        <v>146</v>
      </c>
      <c r="M43" s="29">
        <v>1250</v>
      </c>
      <c r="N43" s="14">
        <f>Table3[[#This Row],[Per/ct2]]*Table3[[#This Row],[Diam Cts]]</f>
        <v>762.5</v>
      </c>
      <c r="O43" s="15"/>
      <c r="P43" s="16"/>
      <c r="Q43" s="19"/>
      <c r="R43" s="223"/>
      <c r="S43" s="223"/>
      <c r="T43" s="223"/>
      <c r="U43" s="273"/>
    </row>
    <row r="44" spans="1:21" ht="16.95" customHeight="1" x14ac:dyDescent="0.25">
      <c r="A44" s="5"/>
      <c r="B44" s="220"/>
      <c r="C44" s="28"/>
      <c r="D44" s="279" t="s">
        <v>123</v>
      </c>
      <c r="E44" s="28">
        <v>6511426685</v>
      </c>
      <c r="F44" s="7" t="s">
        <v>100</v>
      </c>
      <c r="G44" s="9" t="s">
        <v>130</v>
      </c>
      <c r="H44" s="16">
        <f>Table3[[#This Row],[Diam Cts]]/Table3[[#This Row],[No.Pcs]]</f>
        <v>0.61</v>
      </c>
      <c r="I44" s="11">
        <v>1</v>
      </c>
      <c r="J44" s="16">
        <v>0.61</v>
      </c>
      <c r="K44" s="222" t="s">
        <v>131</v>
      </c>
      <c r="L44" s="11" t="s">
        <v>147</v>
      </c>
      <c r="M44" s="29">
        <v>1250</v>
      </c>
      <c r="N44" s="14">
        <f>Table3[[#This Row],[Per/ct2]]*Table3[[#This Row],[Diam Cts]]</f>
        <v>762.5</v>
      </c>
      <c r="O44" s="15"/>
      <c r="P44" s="16"/>
      <c r="Q44" s="19"/>
      <c r="R44" s="223"/>
      <c r="S44" s="223"/>
      <c r="T44" s="223"/>
      <c r="U44" s="273"/>
    </row>
    <row r="45" spans="1:21" ht="16.95" customHeight="1" x14ac:dyDescent="0.25">
      <c r="A45" s="5"/>
      <c r="B45" s="220"/>
      <c r="C45" s="28"/>
      <c r="D45" s="279" t="s">
        <v>123</v>
      </c>
      <c r="E45" s="28">
        <v>7516726294</v>
      </c>
      <c r="F45" s="7" t="s">
        <v>100</v>
      </c>
      <c r="G45" s="9" t="s">
        <v>130</v>
      </c>
      <c r="H45" s="16">
        <f>Table3[[#This Row],[Diam Cts]]/Table3[[#This Row],[No.Pcs]]</f>
        <v>0.5</v>
      </c>
      <c r="I45" s="11">
        <v>1</v>
      </c>
      <c r="J45" s="16">
        <v>0.5</v>
      </c>
      <c r="K45" s="222" t="s">
        <v>129</v>
      </c>
      <c r="L45" s="11" t="s">
        <v>148</v>
      </c>
      <c r="M45" s="29">
        <v>1250</v>
      </c>
      <c r="N45" s="14">
        <f>Table3[[#This Row],[Per/ct2]]*Table3[[#This Row],[Diam Cts]]</f>
        <v>625</v>
      </c>
      <c r="O45" s="15"/>
      <c r="P45" s="16"/>
      <c r="Q45" s="19"/>
      <c r="R45" s="223"/>
      <c r="S45" s="223"/>
      <c r="T45" s="223"/>
      <c r="U45" s="273"/>
    </row>
    <row r="46" spans="1:21" ht="16.95" customHeight="1" x14ac:dyDescent="0.25">
      <c r="A46" s="5"/>
      <c r="B46" s="220"/>
      <c r="C46" s="28"/>
      <c r="D46" s="279" t="s">
        <v>123</v>
      </c>
      <c r="E46" s="28">
        <v>1515773674</v>
      </c>
      <c r="F46" s="7" t="s">
        <v>100</v>
      </c>
      <c r="G46" s="9" t="s">
        <v>55</v>
      </c>
      <c r="H46" s="16">
        <f>Table3[[#This Row],[Diam Cts]]/Table3[[#This Row],[No.Pcs]]</f>
        <v>0.51</v>
      </c>
      <c r="I46" s="11">
        <v>1</v>
      </c>
      <c r="J46" s="16">
        <v>0.51</v>
      </c>
      <c r="K46" s="222" t="s">
        <v>127</v>
      </c>
      <c r="L46" s="11" t="s">
        <v>149</v>
      </c>
      <c r="M46" s="29">
        <v>1250</v>
      </c>
      <c r="N46" s="14">
        <f>Table3[[#This Row],[Per/ct2]]*Table3[[#This Row],[Diam Cts]]</f>
        <v>637.5</v>
      </c>
      <c r="O46" s="15"/>
      <c r="P46" s="16"/>
      <c r="Q46" s="19"/>
      <c r="R46" s="223"/>
      <c r="S46" s="223"/>
      <c r="T46" s="223"/>
      <c r="U46" s="273"/>
    </row>
    <row r="47" spans="1:21" ht="16.95" customHeight="1" x14ac:dyDescent="0.25">
      <c r="A47" s="5"/>
      <c r="B47" s="220"/>
      <c r="C47" s="28"/>
      <c r="D47" s="279" t="s">
        <v>123</v>
      </c>
      <c r="E47" s="28">
        <v>5516766575</v>
      </c>
      <c r="F47" s="7" t="s">
        <v>100</v>
      </c>
      <c r="G47" s="9" t="s">
        <v>55</v>
      </c>
      <c r="H47" s="16">
        <f>Table3[[#This Row],[Diam Cts]]/Table3[[#This Row],[No.Pcs]]</f>
        <v>0.5</v>
      </c>
      <c r="I47" s="11">
        <v>1</v>
      </c>
      <c r="J47" s="16">
        <v>0.5</v>
      </c>
      <c r="K47" s="222" t="s">
        <v>127</v>
      </c>
      <c r="L47" s="11" t="s">
        <v>150</v>
      </c>
      <c r="M47" s="29">
        <v>1250</v>
      </c>
      <c r="N47" s="14">
        <f>Table3[[#This Row],[Per/ct2]]*Table3[[#This Row],[Diam Cts]]</f>
        <v>625</v>
      </c>
      <c r="O47" s="15"/>
      <c r="P47" s="16"/>
      <c r="Q47" s="19"/>
      <c r="R47" s="223"/>
      <c r="S47" s="223"/>
      <c r="T47" s="223"/>
      <c r="U47" s="273"/>
    </row>
    <row r="48" spans="1:21" ht="16.95" customHeight="1" x14ac:dyDescent="0.25">
      <c r="A48" s="5"/>
      <c r="B48" s="220"/>
      <c r="C48" s="28"/>
      <c r="D48" s="279" t="s">
        <v>123</v>
      </c>
      <c r="E48" s="28">
        <v>5513733761</v>
      </c>
      <c r="F48" s="7" t="s">
        <v>100</v>
      </c>
      <c r="G48" s="9" t="s">
        <v>55</v>
      </c>
      <c r="H48" s="16">
        <f>Table3[[#This Row],[Diam Cts]]/Table3[[#This Row],[No.Pcs]]</f>
        <v>0.51</v>
      </c>
      <c r="I48" s="11">
        <v>1</v>
      </c>
      <c r="J48" s="16">
        <v>0.51</v>
      </c>
      <c r="K48" s="222" t="s">
        <v>132</v>
      </c>
      <c r="L48" s="11" t="s">
        <v>151</v>
      </c>
      <c r="M48" s="29">
        <v>1250</v>
      </c>
      <c r="N48" s="14">
        <f>Table3[[#This Row],[Per/ct2]]*Table3[[#This Row],[Diam Cts]]</f>
        <v>637.5</v>
      </c>
      <c r="O48" s="15"/>
      <c r="P48" s="16"/>
      <c r="Q48" s="19"/>
      <c r="R48" s="223"/>
      <c r="S48" s="223"/>
      <c r="T48" s="223"/>
      <c r="U48" s="273"/>
    </row>
    <row r="49" spans="1:21" ht="16.95" customHeight="1" x14ac:dyDescent="0.25">
      <c r="A49" s="5"/>
      <c r="B49" s="220"/>
      <c r="C49" s="28"/>
      <c r="D49" s="279" t="s">
        <v>123</v>
      </c>
      <c r="E49" s="28">
        <v>6515752348</v>
      </c>
      <c r="F49" s="7" t="s">
        <v>100</v>
      </c>
      <c r="G49" s="9" t="s">
        <v>55</v>
      </c>
      <c r="H49" s="16">
        <f>Table3[[#This Row],[Diam Cts]]/Table3[[#This Row],[No.Pcs]]</f>
        <v>0.54</v>
      </c>
      <c r="I49" s="11">
        <v>1</v>
      </c>
      <c r="J49" s="16">
        <v>0.54</v>
      </c>
      <c r="K49" s="222" t="s">
        <v>132</v>
      </c>
      <c r="L49" s="11" t="s">
        <v>152</v>
      </c>
      <c r="M49" s="29">
        <v>1250</v>
      </c>
      <c r="N49" s="14">
        <f>Table3[[#This Row],[Per/ct2]]*Table3[[#This Row],[Diam Cts]]</f>
        <v>675</v>
      </c>
      <c r="O49" s="15"/>
      <c r="P49" s="16"/>
      <c r="Q49" s="19"/>
      <c r="R49" s="223"/>
      <c r="S49" s="223"/>
      <c r="T49" s="223"/>
      <c r="U49" s="273"/>
    </row>
    <row r="50" spans="1:21" ht="16.95" customHeight="1" x14ac:dyDescent="0.25">
      <c r="A50" s="5"/>
      <c r="B50" s="220"/>
      <c r="C50" s="28"/>
      <c r="D50" s="279" t="s">
        <v>123</v>
      </c>
      <c r="E50" s="28">
        <v>1515722954</v>
      </c>
      <c r="F50" s="7" t="s">
        <v>100</v>
      </c>
      <c r="G50" s="9" t="s">
        <v>130</v>
      </c>
      <c r="H50" s="16">
        <f>Table3[[#This Row],[Diam Cts]]/Table3[[#This Row],[No.Pcs]]</f>
        <v>0.57999999999999996</v>
      </c>
      <c r="I50" s="11">
        <v>1</v>
      </c>
      <c r="J50" s="16">
        <v>0.57999999999999996</v>
      </c>
      <c r="K50" s="222" t="s">
        <v>133</v>
      </c>
      <c r="L50" s="11" t="s">
        <v>147</v>
      </c>
      <c r="M50" s="29">
        <v>1250</v>
      </c>
      <c r="N50" s="14">
        <f>Table3[[#This Row],[Per/ct2]]*Table3[[#This Row],[Diam Cts]]</f>
        <v>725</v>
      </c>
      <c r="O50" s="15"/>
      <c r="P50" s="16"/>
      <c r="Q50" s="19"/>
      <c r="R50" s="223"/>
      <c r="S50" s="223"/>
      <c r="T50" s="223"/>
      <c r="U50" s="273"/>
    </row>
    <row r="51" spans="1:21" ht="16.95" customHeight="1" x14ac:dyDescent="0.25">
      <c r="A51" s="5"/>
      <c r="B51" s="220"/>
      <c r="C51" s="28"/>
      <c r="D51" s="279" t="s">
        <v>123</v>
      </c>
      <c r="E51" s="28">
        <v>6472351003</v>
      </c>
      <c r="F51" s="7" t="s">
        <v>100</v>
      </c>
      <c r="G51" s="9" t="s">
        <v>134</v>
      </c>
      <c r="H51" s="16">
        <f>Table3[[#This Row],[Diam Cts]]/Table3[[#This Row],[No.Pcs]]</f>
        <v>0.39</v>
      </c>
      <c r="I51" s="11">
        <v>1</v>
      </c>
      <c r="J51" s="16">
        <v>0.39</v>
      </c>
      <c r="K51" s="222" t="s">
        <v>131</v>
      </c>
      <c r="L51" s="11" t="s">
        <v>142</v>
      </c>
      <c r="M51" s="29">
        <v>925</v>
      </c>
      <c r="N51" s="14">
        <f>Table3[[#This Row],[Per/ct2]]*Table3[[#This Row],[Diam Cts]]</f>
        <v>360.75</v>
      </c>
      <c r="O51" s="15"/>
      <c r="P51" s="16"/>
      <c r="Q51" s="19"/>
      <c r="R51" s="223"/>
      <c r="S51" s="223"/>
      <c r="T51" s="223"/>
      <c r="U51" s="273"/>
    </row>
    <row r="52" spans="1:21" ht="16.95" customHeight="1" x14ac:dyDescent="0.25">
      <c r="A52" s="5"/>
      <c r="B52" s="220"/>
      <c r="C52" s="28"/>
      <c r="D52" s="279" t="s">
        <v>123</v>
      </c>
      <c r="E52" s="28">
        <v>2494842134</v>
      </c>
      <c r="F52" s="7" t="s">
        <v>100</v>
      </c>
      <c r="G52" s="9" t="s">
        <v>134</v>
      </c>
      <c r="H52" s="16">
        <f>Table3[[#This Row],[Diam Cts]]/Table3[[#This Row],[No.Pcs]]</f>
        <v>0.4</v>
      </c>
      <c r="I52" s="11">
        <v>1</v>
      </c>
      <c r="J52" s="16">
        <v>0.4</v>
      </c>
      <c r="K52" s="222" t="s">
        <v>131</v>
      </c>
      <c r="L52" s="11" t="s">
        <v>153</v>
      </c>
      <c r="M52" s="29">
        <v>925</v>
      </c>
      <c r="N52" s="14">
        <f>Table3[[#This Row],[Per/ct2]]*Table3[[#This Row],[Diam Cts]]</f>
        <v>370</v>
      </c>
      <c r="O52" s="15"/>
      <c r="P52" s="16"/>
      <c r="Q52" s="19"/>
      <c r="R52" s="223"/>
      <c r="S52" s="223"/>
      <c r="T52" s="223"/>
      <c r="U52" s="273"/>
    </row>
    <row r="53" spans="1:21" ht="16.95" customHeight="1" x14ac:dyDescent="0.25">
      <c r="A53" s="5"/>
      <c r="B53" s="220"/>
      <c r="C53" s="28"/>
      <c r="D53" s="279" t="s">
        <v>123</v>
      </c>
      <c r="E53" s="28">
        <v>6492307580</v>
      </c>
      <c r="F53" s="7" t="s">
        <v>100</v>
      </c>
      <c r="G53" s="9" t="s">
        <v>134</v>
      </c>
      <c r="H53" s="16">
        <f>Table3[[#This Row],[Diam Cts]]/Table3[[#This Row],[No.Pcs]]</f>
        <v>0.4</v>
      </c>
      <c r="I53" s="11">
        <v>1</v>
      </c>
      <c r="J53" s="16">
        <v>0.4</v>
      </c>
      <c r="K53" s="222" t="s">
        <v>133</v>
      </c>
      <c r="L53" s="11" t="s">
        <v>142</v>
      </c>
      <c r="M53" s="29">
        <v>925</v>
      </c>
      <c r="N53" s="14">
        <f>Table3[[#This Row],[Per/ct2]]*Table3[[#This Row],[Diam Cts]]</f>
        <v>370</v>
      </c>
      <c r="O53" s="15"/>
      <c r="P53" s="16"/>
      <c r="Q53" s="19"/>
      <c r="R53" s="223"/>
      <c r="S53" s="223"/>
      <c r="T53" s="223"/>
      <c r="U53" s="273"/>
    </row>
    <row r="54" spans="1:21" ht="16.95" customHeight="1" x14ac:dyDescent="0.25">
      <c r="A54" s="5"/>
      <c r="B54" s="220"/>
      <c r="C54" s="28"/>
      <c r="D54" s="279" t="s">
        <v>123</v>
      </c>
      <c r="E54" s="28">
        <v>2476642126</v>
      </c>
      <c r="F54" s="7" t="s">
        <v>100</v>
      </c>
      <c r="G54" s="9" t="s">
        <v>135</v>
      </c>
      <c r="H54" s="16">
        <f>Table3[[#This Row],[Diam Cts]]/Table3[[#This Row],[No.Pcs]]</f>
        <v>0.36</v>
      </c>
      <c r="I54" s="11">
        <v>1</v>
      </c>
      <c r="J54" s="16">
        <v>0.36</v>
      </c>
      <c r="K54" s="222" t="s">
        <v>136</v>
      </c>
      <c r="L54" s="11" t="s">
        <v>142</v>
      </c>
      <c r="M54" s="29">
        <v>925</v>
      </c>
      <c r="N54" s="14">
        <f>Table3[[#This Row],[Per/ct2]]*Table3[[#This Row],[Diam Cts]]</f>
        <v>333</v>
      </c>
      <c r="O54" s="15"/>
      <c r="P54" s="16"/>
      <c r="Q54" s="19"/>
      <c r="R54" s="223"/>
      <c r="S54" s="223"/>
      <c r="T54" s="223"/>
      <c r="U54" s="273"/>
    </row>
    <row r="55" spans="1:21" ht="16.95" customHeight="1" x14ac:dyDescent="0.25">
      <c r="A55" s="5"/>
      <c r="B55" s="220"/>
      <c r="C55" s="28"/>
      <c r="D55" s="279" t="s">
        <v>123</v>
      </c>
      <c r="E55" s="28">
        <v>6471715353</v>
      </c>
      <c r="F55" s="7" t="s">
        <v>100</v>
      </c>
      <c r="G55" s="9" t="s">
        <v>135</v>
      </c>
      <c r="H55" s="16">
        <f>Table3[[#This Row],[Diam Cts]]/Table3[[#This Row],[No.Pcs]]</f>
        <v>0.36</v>
      </c>
      <c r="I55" s="11">
        <v>1</v>
      </c>
      <c r="J55" s="16">
        <v>0.36</v>
      </c>
      <c r="K55" s="222" t="s">
        <v>129</v>
      </c>
      <c r="L55" s="11" t="s">
        <v>142</v>
      </c>
      <c r="M55" s="29">
        <v>900</v>
      </c>
      <c r="N55" s="14">
        <f>Table3[[#This Row],[Per/ct2]]*Table3[[#This Row],[Diam Cts]]</f>
        <v>324</v>
      </c>
      <c r="O55" s="15"/>
      <c r="P55" s="16"/>
      <c r="Q55" s="19"/>
      <c r="R55" s="223"/>
      <c r="S55" s="223"/>
      <c r="T55" s="223"/>
      <c r="U55" s="273"/>
    </row>
    <row r="56" spans="1:21" ht="16.95" customHeight="1" x14ac:dyDescent="0.25">
      <c r="A56" s="5"/>
      <c r="B56" s="220"/>
      <c r="C56" s="28"/>
      <c r="D56" s="279" t="s">
        <v>123</v>
      </c>
      <c r="E56" s="28">
        <v>5496405962</v>
      </c>
      <c r="F56" s="7" t="s">
        <v>100</v>
      </c>
      <c r="G56" s="9" t="s">
        <v>135</v>
      </c>
      <c r="H56" s="16">
        <f>Table3[[#This Row],[Diam Cts]]/Table3[[#This Row],[No.Pcs]]</f>
        <v>0.33</v>
      </c>
      <c r="I56" s="11">
        <v>1</v>
      </c>
      <c r="J56" s="16">
        <v>0.33</v>
      </c>
      <c r="K56" s="222" t="s">
        <v>127</v>
      </c>
      <c r="L56" s="11" t="s">
        <v>142</v>
      </c>
      <c r="M56" s="29">
        <v>875</v>
      </c>
      <c r="N56" s="14">
        <f>Table3[[#This Row],[Per/ct2]]*Table3[[#This Row],[Diam Cts]]</f>
        <v>288.75</v>
      </c>
      <c r="O56" s="15"/>
      <c r="P56" s="16"/>
      <c r="Q56" s="19"/>
      <c r="R56" s="223"/>
      <c r="S56" s="223"/>
      <c r="T56" s="223"/>
      <c r="U56" s="273"/>
    </row>
    <row r="57" spans="1:21" ht="16.95" customHeight="1" x14ac:dyDescent="0.25">
      <c r="A57" s="5"/>
      <c r="B57" s="220"/>
      <c r="C57" s="28"/>
      <c r="D57" s="279" t="s">
        <v>123</v>
      </c>
      <c r="E57" s="28">
        <v>6482332279</v>
      </c>
      <c r="F57" s="7" t="s">
        <v>100</v>
      </c>
      <c r="G57" s="9" t="s">
        <v>135</v>
      </c>
      <c r="H57" s="16">
        <f>Table3[[#This Row],[Diam Cts]]/Table3[[#This Row],[No.Pcs]]</f>
        <v>0.35</v>
      </c>
      <c r="I57" s="11">
        <v>1</v>
      </c>
      <c r="J57" s="16">
        <v>0.35</v>
      </c>
      <c r="K57" s="222" t="s">
        <v>137</v>
      </c>
      <c r="L57" s="11" t="s">
        <v>142</v>
      </c>
      <c r="M57" s="29">
        <v>875</v>
      </c>
      <c r="N57" s="14">
        <f>Table3[[#This Row],[Per/ct2]]*Table3[[#This Row],[Diam Cts]]</f>
        <v>306.25</v>
      </c>
      <c r="O57" s="15"/>
      <c r="P57" s="16"/>
      <c r="Q57" s="19"/>
      <c r="R57" s="223"/>
      <c r="S57" s="223"/>
      <c r="T57" s="223"/>
      <c r="U57" s="273"/>
    </row>
    <row r="58" spans="1:21" ht="16.95" customHeight="1" x14ac:dyDescent="0.25">
      <c r="A58" s="5"/>
      <c r="B58" s="220"/>
      <c r="C58" s="28"/>
      <c r="D58" s="279" t="s">
        <v>123</v>
      </c>
      <c r="E58" s="28">
        <v>2496392790</v>
      </c>
      <c r="F58" s="7" t="s">
        <v>100</v>
      </c>
      <c r="G58" s="9" t="s">
        <v>135</v>
      </c>
      <c r="H58" s="16">
        <f>Table3[[#This Row],[Diam Cts]]/Table3[[#This Row],[No.Pcs]]</f>
        <v>0.34</v>
      </c>
      <c r="I58" s="11">
        <v>1</v>
      </c>
      <c r="J58" s="16">
        <v>0.34</v>
      </c>
      <c r="K58" s="222" t="s">
        <v>124</v>
      </c>
      <c r="L58" s="11" t="s">
        <v>142</v>
      </c>
      <c r="M58" s="29">
        <v>875</v>
      </c>
      <c r="N58" s="14">
        <f>Table3[[#This Row],[Per/ct2]]*Table3[[#This Row],[Diam Cts]]</f>
        <v>297.5</v>
      </c>
      <c r="O58" s="15"/>
      <c r="P58" s="16"/>
      <c r="Q58" s="19"/>
      <c r="R58" s="223"/>
      <c r="S58" s="223"/>
      <c r="T58" s="223"/>
      <c r="U58" s="273"/>
    </row>
    <row r="59" spans="1:21" ht="16.95" customHeight="1" x14ac:dyDescent="0.25">
      <c r="A59" s="5"/>
      <c r="B59" s="220"/>
      <c r="C59" s="28"/>
      <c r="D59" s="279" t="s">
        <v>123</v>
      </c>
      <c r="E59" s="28">
        <v>6485560812</v>
      </c>
      <c r="F59" s="7" t="s">
        <v>100</v>
      </c>
      <c r="G59" s="9" t="s">
        <v>135</v>
      </c>
      <c r="H59" s="16">
        <f>Table3[[#This Row],[Diam Cts]]/Table3[[#This Row],[No.Pcs]]</f>
        <v>0.34</v>
      </c>
      <c r="I59" s="11">
        <v>1</v>
      </c>
      <c r="J59" s="16">
        <v>0.34</v>
      </c>
      <c r="K59" s="222" t="s">
        <v>137</v>
      </c>
      <c r="L59" s="11" t="s">
        <v>154</v>
      </c>
      <c r="M59" s="29">
        <v>875</v>
      </c>
      <c r="N59" s="14">
        <f>Table3[[#This Row],[Per/ct2]]*Table3[[#This Row],[Diam Cts]]</f>
        <v>297.5</v>
      </c>
      <c r="O59" s="15"/>
      <c r="P59" s="16"/>
      <c r="Q59" s="19"/>
      <c r="R59" s="223"/>
      <c r="S59" s="223"/>
      <c r="T59" s="223"/>
      <c r="U59" s="273"/>
    </row>
    <row r="60" spans="1:21" ht="16.95" customHeight="1" x14ac:dyDescent="0.25">
      <c r="A60" s="5"/>
      <c r="B60" s="220"/>
      <c r="C60" s="28"/>
      <c r="D60" s="279" t="s">
        <v>123</v>
      </c>
      <c r="E60" s="28">
        <v>6482945069</v>
      </c>
      <c r="F60" s="7" t="s">
        <v>100</v>
      </c>
      <c r="G60" s="9" t="s">
        <v>135</v>
      </c>
      <c r="H60" s="16">
        <f>Table3[[#This Row],[Diam Cts]]/Table3[[#This Row],[No.Pcs]]</f>
        <v>0.34</v>
      </c>
      <c r="I60" s="11">
        <v>1</v>
      </c>
      <c r="J60" s="16">
        <v>0.34</v>
      </c>
      <c r="K60" s="222" t="s">
        <v>138</v>
      </c>
      <c r="L60" s="11" t="s">
        <v>142</v>
      </c>
      <c r="M60" s="29">
        <v>875</v>
      </c>
      <c r="N60" s="14">
        <f>Table3[[#This Row],[Per/ct2]]*Table3[[#This Row],[Diam Cts]]</f>
        <v>297.5</v>
      </c>
      <c r="O60" s="15"/>
      <c r="P60" s="16"/>
      <c r="Q60" s="19"/>
      <c r="R60" s="223"/>
      <c r="S60" s="223"/>
      <c r="T60" s="223"/>
      <c r="U60" s="273"/>
    </row>
    <row r="61" spans="1:21" ht="16.95" customHeight="1" x14ac:dyDescent="0.25">
      <c r="A61" s="5"/>
      <c r="B61" s="220"/>
      <c r="C61" s="28"/>
      <c r="D61" s="279" t="s">
        <v>123</v>
      </c>
      <c r="E61" s="28">
        <v>5234259295</v>
      </c>
      <c r="F61" s="7" t="s">
        <v>100</v>
      </c>
      <c r="G61" s="9" t="s">
        <v>135</v>
      </c>
      <c r="H61" s="16">
        <f>Table3[[#This Row],[Diam Cts]]/Table3[[#This Row],[No.Pcs]]</f>
        <v>0.35</v>
      </c>
      <c r="I61" s="11">
        <v>1</v>
      </c>
      <c r="J61" s="16">
        <v>0.35</v>
      </c>
      <c r="K61" s="222" t="s">
        <v>138</v>
      </c>
      <c r="L61" s="11" t="s">
        <v>155</v>
      </c>
      <c r="M61" s="29">
        <v>875</v>
      </c>
      <c r="N61" s="14">
        <f>Table3[[#This Row],[Per/ct2]]*Table3[[#This Row],[Diam Cts]]</f>
        <v>306.25</v>
      </c>
      <c r="O61" s="15"/>
      <c r="P61" s="16"/>
      <c r="Q61" s="19"/>
      <c r="R61" s="223"/>
      <c r="S61" s="223"/>
      <c r="T61" s="223"/>
      <c r="U61" s="273"/>
    </row>
    <row r="62" spans="1:21" ht="16.95" customHeight="1" x14ac:dyDescent="0.25">
      <c r="A62" s="5"/>
      <c r="B62" s="220"/>
      <c r="C62" s="28"/>
      <c r="D62" s="280" t="s">
        <v>139</v>
      </c>
      <c r="E62" s="28" t="s">
        <v>140</v>
      </c>
      <c r="F62" s="7" t="s">
        <v>100</v>
      </c>
      <c r="G62" s="9" t="s">
        <v>36</v>
      </c>
      <c r="H62" s="16">
        <f>Table3[[#This Row],[Diam Cts]]/Table3[[#This Row],[No.Pcs]]</f>
        <v>0.24</v>
      </c>
      <c r="I62" s="11">
        <v>6</v>
      </c>
      <c r="J62" s="16">
        <v>1.44</v>
      </c>
      <c r="K62" s="222"/>
      <c r="L62" s="11" t="s">
        <v>92</v>
      </c>
      <c r="M62" s="29">
        <v>725</v>
      </c>
      <c r="N62" s="14">
        <f>Table3[[#This Row],[Per/ct2]]*Table3[[#This Row],[Diam Cts]]</f>
        <v>1044</v>
      </c>
      <c r="O62" s="15"/>
      <c r="P62" s="16"/>
      <c r="Q62" s="19"/>
      <c r="R62" s="223"/>
      <c r="S62" s="223"/>
      <c r="T62" s="223"/>
      <c r="U62" s="273"/>
    </row>
    <row r="63" spans="1:21" ht="16.95" customHeight="1" x14ac:dyDescent="0.25">
      <c r="A63" s="5"/>
      <c r="B63" s="220"/>
      <c r="C63" s="28"/>
      <c r="D63" s="280" t="s">
        <v>139</v>
      </c>
      <c r="E63" s="28" t="s">
        <v>140</v>
      </c>
      <c r="F63" s="7" t="s">
        <v>100</v>
      </c>
      <c r="G63" s="9" t="s">
        <v>31</v>
      </c>
      <c r="H63" s="16">
        <f>Table3[[#This Row],[Diam Cts]]/Table3[[#This Row],[No.Pcs]]</f>
        <v>0.19081632653061223</v>
      </c>
      <c r="I63" s="11">
        <v>49</v>
      </c>
      <c r="J63" s="16">
        <v>9.35</v>
      </c>
      <c r="K63" s="222"/>
      <c r="L63" s="11" t="s">
        <v>38</v>
      </c>
      <c r="M63" s="29">
        <v>625</v>
      </c>
      <c r="N63" s="14">
        <f>Table3[[#This Row],[Per/ct2]]*Table3[[#This Row],[Diam Cts]]</f>
        <v>5843.75</v>
      </c>
      <c r="O63" s="15"/>
      <c r="P63" s="16"/>
      <c r="Q63" s="19"/>
      <c r="R63" s="223"/>
      <c r="S63" s="223"/>
      <c r="T63" s="223"/>
      <c r="U63" s="273"/>
    </row>
    <row r="64" spans="1:21" ht="16.95" customHeight="1" thickBot="1" x14ac:dyDescent="0.3">
      <c r="A64" s="30"/>
      <c r="B64" s="281"/>
      <c r="C64" s="32"/>
      <c r="D64" s="282" t="s">
        <v>139</v>
      </c>
      <c r="E64" s="32" t="s">
        <v>140</v>
      </c>
      <c r="F64" s="283" t="s">
        <v>100</v>
      </c>
      <c r="G64" s="99" t="s">
        <v>112</v>
      </c>
      <c r="H64" s="34">
        <f>Table3[[#This Row],[Diam Cts]]/Table3[[#This Row],[No.Pcs]]</f>
        <v>0.10073529411764705</v>
      </c>
      <c r="I64" s="33">
        <v>68</v>
      </c>
      <c r="J64" s="34">
        <v>6.85</v>
      </c>
      <c r="K64" s="284"/>
      <c r="L64" s="33" t="s">
        <v>160</v>
      </c>
      <c r="M64" s="170">
        <v>525</v>
      </c>
      <c r="N64" s="35">
        <f>Table3[[#This Row],[Per/ct2]]*Table3[[#This Row],[Diam Cts]]</f>
        <v>3596.25</v>
      </c>
      <c r="O64" s="36">
        <v>112</v>
      </c>
      <c r="P64" s="34">
        <v>46.14</v>
      </c>
      <c r="Q64" s="102">
        <v>40.468000000000004</v>
      </c>
      <c r="R64" s="35">
        <f>Table3[[#This Row],[Net Gm]]*Table3[[#This Row],[Gold/gm]]</f>
        <v>4532.4160000000002</v>
      </c>
      <c r="S64" s="285">
        <v>750</v>
      </c>
      <c r="T64" s="285">
        <v>0</v>
      </c>
      <c r="U64" s="161">
        <f>Table3[[#This Row],[Cert Exp]]+Table3[[#This Row],[Labour]]+Table3[[#This Row],[Gold Total]]+N40+N41+N42+N43+N44+N45+N46+N47+N48+N49+N50+N51+N52+N53+N54+N55+N56+N57+N58+N59+N60+N61+N62+N63+Table3[[#This Row],[Diam Total]]</f>
        <v>29435.416000000001</v>
      </c>
    </row>
    <row r="65" spans="1:21" ht="16.95" customHeight="1" thickBot="1" x14ac:dyDescent="0.3">
      <c r="A65" s="103">
        <f>SUBTOTAL(103,Table3[Sr])</f>
        <v>12</v>
      </c>
      <c r="B65" s="286"/>
      <c r="C65" s="105"/>
      <c r="D65" s="105"/>
      <c r="E65" s="105"/>
      <c r="F65" s="287"/>
      <c r="G65" s="105"/>
      <c r="H65" s="107"/>
      <c r="I65" s="107">
        <f>SUBTOTAL(109,Table3[No.Pcs])</f>
        <v>1106</v>
      </c>
      <c r="J65" s="108">
        <f>SUBTOTAL(109,Table3[Diam Cts])</f>
        <v>196.27999999999997</v>
      </c>
      <c r="K65" s="105"/>
      <c r="L65" s="107"/>
      <c r="M65" s="107"/>
      <c r="N65" s="111">
        <f>SUBTOTAL(109,Table3[Diam Total])</f>
        <v>137805.75</v>
      </c>
      <c r="O65" s="107"/>
      <c r="P65" s="108">
        <f>SUBTOTAL(109,Table3[Gross Gm])</f>
        <v>257.89</v>
      </c>
      <c r="Q65" s="112">
        <f>SUBTOTAL(109,Table3[Net Gm])</f>
        <v>218.63600000000002</v>
      </c>
      <c r="R65" s="288">
        <f>SUBTOTAL(109,Table3[Gold Total])</f>
        <v>24487.232</v>
      </c>
      <c r="S65" s="288">
        <f>SUBTOTAL(109,Table3[Labour])</f>
        <v>4500</v>
      </c>
      <c r="T65" s="288">
        <f>SUBTOTAL(109,Table3[Cert Exp])</f>
        <v>2702.1099999999997</v>
      </c>
      <c r="U65" s="167">
        <f>SUBTOTAL(109,Table3[Total Amt])</f>
        <v>169495.09199999998</v>
      </c>
    </row>
    <row r="66" spans="1:21" ht="16.95" customHeight="1" x14ac:dyDescent="0.25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>
        <v>1</v>
      </c>
      <c r="O66" s="2"/>
      <c r="P66" s="2"/>
      <c r="Q66" s="2"/>
      <c r="R66" s="2">
        <v>2</v>
      </c>
      <c r="S66" s="2">
        <v>3</v>
      </c>
      <c r="T66" s="2">
        <v>4</v>
      </c>
      <c r="U66" s="2" t="s">
        <v>43</v>
      </c>
    </row>
    <row r="67" spans="1:21" ht="16.95" customHeight="1" x14ac:dyDescent="0.25">
      <c r="A67" s="157" t="s">
        <v>184</v>
      </c>
      <c r="B67" s="158"/>
      <c r="C67" s="158"/>
      <c r="D67" s="159"/>
      <c r="E67" s="160"/>
    </row>
  </sheetData>
  <mergeCells count="2">
    <mergeCell ref="A2:U2"/>
    <mergeCell ref="A3:U3"/>
  </mergeCells>
  <hyperlinks>
    <hyperlink ref="D5" r:id="rId1" xr:uid="{41AF1044-72DB-4551-A330-C22238D59092}"/>
    <hyperlink ref="D9" r:id="rId2" xr:uid="{FB615B68-F649-4B38-916E-C848B8E08756}"/>
    <hyperlink ref="D23" r:id="rId3" xr:uid="{B7AFAFA6-1EED-479F-8856-6585A61F0B11}"/>
    <hyperlink ref="D25" r:id="rId4" display="Gia" xr:uid="{A9F5E8B6-FC0B-41A3-836F-15024D180D74}"/>
    <hyperlink ref="D27" r:id="rId5" xr:uid="{7F1C4979-C468-4CD9-AA89-0E3835D35ADF}"/>
    <hyperlink ref="D31" r:id="rId6" xr:uid="{93F6174F-76C4-4D63-81B8-AA2BBA45E87C}"/>
    <hyperlink ref="D30" r:id="rId7" xr:uid="{A1DE40CF-FBE5-4D93-8B03-D84FAB796196}"/>
    <hyperlink ref="D15" r:id="rId8" xr:uid="{ACBFCD95-1527-45B9-8780-86AE4C33A708}"/>
    <hyperlink ref="D11" r:id="rId9" xr:uid="{BB05F657-D8CD-4020-9AAF-B01F76F5904B}"/>
    <hyperlink ref="D17" r:id="rId10" xr:uid="{84A8FEE3-04B3-48AE-BFA8-BCCBB3CB4FFC}"/>
    <hyperlink ref="D7" r:id="rId11" xr:uid="{24CE1BB4-0838-41E2-94C5-49D24884C9FF}"/>
    <hyperlink ref="D20" r:id="rId12" xr:uid="{D6426624-B1D3-4C2D-93B1-D3F8C73D91DB}"/>
  </hyperlinks>
  <pageMargins left="0.51181102362204722" right="0.51181102362204722" top="0.74803149606299213" bottom="0.74803149606299213" header="0.31496062992125984" footer="0.31496062992125984"/>
  <pageSetup paperSize="9" scale="66" orientation="landscape" r:id="rId13"/>
  <headerFooter>
    <oddFooter>Page &amp;P of &amp;N</oddFooter>
  </headerFooter>
  <ignoredErrors>
    <ignoredError sqref="T24:U24 T9 T15 T16:U16 T6:U6 H5 H7 H9 H11:H13 H15 H17:H18 H20:H21 H23 H25 H27:H28 H30:H38 H40:H64 T5 T23 T26:U27 T25 T29:U37 T28 T38:U63 T64:U64 T7 T13 T18:T21" unlockedFormula="1"/>
    <ignoredError sqref="G41:G64 G37" numberStoredAsText="1"/>
  </ignoredErrors>
  <tableParts count="1">
    <tablePart r:id="rId1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Dhamani Jewels</vt:lpstr>
      <vt:lpstr>'Dhamani Jewels'!Print_Titles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Star-Viraj Shah</dc:creator>
  <cp:lastModifiedBy>Antonia Star-Viraj Shah</cp:lastModifiedBy>
  <cp:lastPrinted>2026-08-13T11:51:46Z</cp:lastPrinted>
  <dcterms:created xsi:type="dcterms:W3CDTF">2026-06-30T09:17:18Z</dcterms:created>
  <dcterms:modified xsi:type="dcterms:W3CDTF">2026-08-24T12:52:52Z</dcterms:modified>
</cp:coreProperties>
</file>