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1.NEW DATA 10.10.2015\"/>
    </mc:Choice>
  </mc:AlternateContent>
  <xr:revisionPtr revIDLastSave="0" documentId="13_ncr:1_{98F8A182-7666-4721-8DC1-3CB411BD502A}" xr6:coauthVersionLast="47" xr6:coauthVersionMax="47" xr10:uidLastSave="{00000000-0000-0000-0000-000000000000}"/>
  <bookViews>
    <workbookView xWindow="-108" yWindow="-108" windowWidth="23256" windowHeight="12456" xr2:uid="{A6D5605B-D430-47F5-882D-42FBBBEEAD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Q34" i="1"/>
  <c r="P34" i="1"/>
  <c r="J34" i="1"/>
  <c r="I34" i="1"/>
  <c r="A34" i="1"/>
  <c r="T33" i="1"/>
  <c r="T31" i="1"/>
  <c r="T26" i="1"/>
  <c r="T21" i="1"/>
  <c r="T17" i="1"/>
  <c r="T15" i="1"/>
  <c r="T13" i="1"/>
  <c r="T10" i="1"/>
  <c r="T6" i="1"/>
  <c r="R33" i="1"/>
  <c r="R31" i="1"/>
  <c r="R26" i="1"/>
  <c r="R21" i="1"/>
  <c r="R17" i="1"/>
  <c r="R15" i="1"/>
  <c r="R13" i="1"/>
  <c r="R10" i="1"/>
  <c r="R6" i="1"/>
  <c r="R34" i="1" l="1"/>
  <c r="T34" i="1"/>
  <c r="N33" i="1"/>
  <c r="U33" i="1" s="1"/>
  <c r="N31" i="1"/>
  <c r="N30" i="1"/>
  <c r="N29" i="1"/>
  <c r="N28" i="1"/>
  <c r="N26" i="1"/>
  <c r="N25" i="1"/>
  <c r="N24" i="1"/>
  <c r="N23" i="1"/>
  <c r="N21" i="1"/>
  <c r="N20" i="1"/>
  <c r="N19" i="1"/>
  <c r="U21" i="1" s="1"/>
  <c r="N17" i="1"/>
  <c r="U17" i="1" s="1"/>
  <c r="N15" i="1"/>
  <c r="U15" i="1" s="1"/>
  <c r="U26" i="1" l="1"/>
  <c r="U31" i="1"/>
  <c r="N13" i="1"/>
  <c r="N12" i="1"/>
  <c r="N10" i="1"/>
  <c r="N9" i="1"/>
  <c r="N8" i="1"/>
  <c r="N6" i="1"/>
  <c r="N5" i="1"/>
  <c r="N4" i="1"/>
  <c r="H33" i="1"/>
  <c r="H31" i="1"/>
  <c r="H30" i="1"/>
  <c r="H29" i="1"/>
  <c r="H28" i="1"/>
  <c r="H26" i="1"/>
  <c r="H25" i="1"/>
  <c r="H24" i="1"/>
  <c r="H23" i="1"/>
  <c r="H21" i="1"/>
  <c r="H20" i="1"/>
  <c r="H19" i="1"/>
  <c r="H17" i="1"/>
  <c r="H15" i="1"/>
  <c r="H13" i="1"/>
  <c r="H12" i="1"/>
  <c r="H10" i="1"/>
  <c r="H9" i="1"/>
  <c r="H8" i="1"/>
  <c r="H6" i="1"/>
  <c r="H5" i="1"/>
  <c r="H4" i="1"/>
  <c r="U13" i="1" l="1"/>
  <c r="U6" i="1"/>
  <c r="N34" i="1"/>
  <c r="U10" i="1"/>
  <c r="U34" i="1" l="1"/>
</calcChain>
</file>

<file path=xl/sharedStrings.xml><?xml version="1.0" encoding="utf-8"?>
<sst xmlns="http://schemas.openxmlformats.org/spreadsheetml/2006/main" count="154" uniqueCount="105">
  <si>
    <t>Sr</t>
  </si>
  <si>
    <t>Length</t>
  </si>
  <si>
    <t>17.5cm</t>
  </si>
  <si>
    <t>18.0cm</t>
  </si>
  <si>
    <t>ITEM</t>
  </si>
  <si>
    <t>LAB</t>
  </si>
  <si>
    <t>Cert Number</t>
  </si>
  <si>
    <t>Parcel Id</t>
  </si>
  <si>
    <t>Size2</t>
  </si>
  <si>
    <t>Avg Pts</t>
  </si>
  <si>
    <t>No.Pcs</t>
  </si>
  <si>
    <t>Diam Cts</t>
  </si>
  <si>
    <t>Col - Clarity</t>
  </si>
  <si>
    <t>Princess-Round Braclet</t>
  </si>
  <si>
    <t>HRD</t>
  </si>
  <si>
    <t>J250000112866</t>
  </si>
  <si>
    <t>Princess</t>
  </si>
  <si>
    <t>1ct</t>
  </si>
  <si>
    <t>GH SI</t>
  </si>
  <si>
    <t>1/10</t>
  </si>
  <si>
    <t>EF VS</t>
  </si>
  <si>
    <t>Cts : 3.34/Pcs :44</t>
  </si>
  <si>
    <t>Rounds</t>
  </si>
  <si>
    <t>+7.50-8</t>
  </si>
  <si>
    <t>FG VS-SI</t>
  </si>
  <si>
    <t>Round-Marquise Brc</t>
  </si>
  <si>
    <t>J250000130902</t>
  </si>
  <si>
    <t>Round</t>
  </si>
  <si>
    <t>FG SI</t>
  </si>
  <si>
    <t>+9-10</t>
  </si>
  <si>
    <t>GH VS</t>
  </si>
  <si>
    <t>Cts : 4.51/Pcs: 42</t>
  </si>
  <si>
    <t>Marquise</t>
  </si>
  <si>
    <t>FG VS</t>
  </si>
  <si>
    <t>LOT</t>
  </si>
  <si>
    <t>Per/ct</t>
  </si>
  <si>
    <t>Diam Total</t>
  </si>
  <si>
    <t>Gold/gm</t>
  </si>
  <si>
    <t>Gross Gm</t>
  </si>
  <si>
    <t>Net Gm</t>
  </si>
  <si>
    <t>Gold Total</t>
  </si>
  <si>
    <t>Labour</t>
  </si>
  <si>
    <t>Cert Exp</t>
  </si>
  <si>
    <t>Total Amt</t>
  </si>
  <si>
    <t>UCZZ</t>
  </si>
  <si>
    <t>CQCZ</t>
  </si>
  <si>
    <t>CTCC</t>
  </si>
  <si>
    <t>CUSCZ</t>
  </si>
  <si>
    <t>CQZZ</t>
  </si>
  <si>
    <t>CCZZ</t>
  </si>
  <si>
    <t>Pears-Oval Braclet</t>
  </si>
  <si>
    <t>J250000085194</t>
  </si>
  <si>
    <t>Pear</t>
  </si>
  <si>
    <t>1/5</t>
  </si>
  <si>
    <t>Cts : 5.59/Pcs: 39</t>
  </si>
  <si>
    <t>Ovals</t>
  </si>
  <si>
    <t>EF VVS-VS</t>
  </si>
  <si>
    <t>CCSC</t>
  </si>
  <si>
    <t>CQSC</t>
  </si>
  <si>
    <t>17.7cm</t>
  </si>
  <si>
    <t>Pears Braclet</t>
  </si>
  <si>
    <t>J250000085189</t>
  </si>
  <si>
    <t>Pears</t>
  </si>
  <si>
    <t>J250000081111</t>
  </si>
  <si>
    <t>Fncy Ovals-Round Brc</t>
  </si>
  <si>
    <t>IGI</t>
  </si>
  <si>
    <t>49J9579525</t>
  </si>
  <si>
    <t>Fncy Ovals</t>
  </si>
  <si>
    <t>1/3</t>
  </si>
  <si>
    <t>Lt.Yw VS</t>
  </si>
  <si>
    <t>1/2</t>
  </si>
  <si>
    <t>GHI VS</t>
  </si>
  <si>
    <t>Cts : 12.84/Pcs: 36</t>
  </si>
  <si>
    <t>1/4</t>
  </si>
  <si>
    <t>CCUZ</t>
  </si>
  <si>
    <t>CSSC</t>
  </si>
  <si>
    <t>CCCZ</t>
  </si>
  <si>
    <t>Fncy Heart-Round Brc</t>
  </si>
  <si>
    <t>J250000112865</t>
  </si>
  <si>
    <t>Yellow HS</t>
  </si>
  <si>
    <t>FY VS</t>
  </si>
  <si>
    <t>70</t>
  </si>
  <si>
    <t>60</t>
  </si>
  <si>
    <t>Cts : 15.91/Pcs: 36</t>
  </si>
  <si>
    <t>CHZZ</t>
  </si>
  <si>
    <t>CSZZ</t>
  </si>
  <si>
    <t>Round Comp.-Emd Brc</t>
  </si>
  <si>
    <t>J250000122446</t>
  </si>
  <si>
    <t>90</t>
  </si>
  <si>
    <t>+000-0</t>
  </si>
  <si>
    <t>EF VS-SI</t>
  </si>
  <si>
    <t>Cts : 10.73/Pcs: 166</t>
  </si>
  <si>
    <t>Emerald</t>
  </si>
  <si>
    <t>CUDCZ</t>
  </si>
  <si>
    <t>CDZZ</t>
  </si>
  <si>
    <t>CQHC</t>
  </si>
  <si>
    <t>18.5cm</t>
  </si>
  <si>
    <t>Trapeze Braclet</t>
  </si>
  <si>
    <t>J250000053269</t>
  </si>
  <si>
    <t>GL5720-1</t>
  </si>
  <si>
    <t>1/6</t>
  </si>
  <si>
    <t>(1+2+3+4)</t>
  </si>
  <si>
    <t>18k White Gold Jewellery in Studded Natural Diamonds.</t>
  </si>
  <si>
    <t>Consignment Packing List of Eternal Jewels LLC ( Dated : 11 Feb 2026 )</t>
  </si>
  <si>
    <t>Note : All Orignal Certificates are 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</si>
</sst>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&quot;$&quot;#,##0.00"/>
    <numFmt numFmtId="166" formatCode="[$$-1009]#,##0.00"/>
    <numFmt numFmtId="167" formatCode="#,##0.000"/>
  </numFmts>
  <fonts count="17" x14ac:knownFonts="1">
    <font>
      <sz val="11"/>
      <color theme="1"/>
      <name val="Calibri"/>
      <family val="2"/>
      <scheme val="minor"/>
    </font>
    <font>
      <b/>
      <sz val="9"/>
      <name val="Cambria"/>
      <family val="1"/>
    </font>
    <font>
      <b/>
      <sz val="9"/>
      <color theme="1" tint="4.9989318521683403E-2"/>
      <name val="Cambria"/>
      <family val="1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70C0"/>
      <name val="Cambria"/>
      <family val="1"/>
    </font>
    <font>
      <b/>
      <sz val="9"/>
      <color rgb="FF0070C0"/>
      <name val="Calibri"/>
      <family val="2"/>
      <scheme val="minor"/>
    </font>
    <font>
      <b/>
      <sz val="9"/>
      <color theme="1"/>
      <name val="Cambria"/>
      <family val="1"/>
    </font>
    <font>
      <b/>
      <sz val="11"/>
      <color theme="1"/>
      <name val="Cambria"/>
      <family val="1"/>
    </font>
    <font>
      <sz val="9"/>
      <name val="Cambria"/>
      <family val="1"/>
    </font>
    <font>
      <sz val="9"/>
      <color theme="1" tint="4.9989318521683403E-2"/>
      <name val="Cambria"/>
      <family val="1"/>
    </font>
    <font>
      <u/>
      <sz val="9"/>
      <color indexed="12"/>
      <name val="Cambria"/>
      <family val="1"/>
    </font>
    <font>
      <sz val="9"/>
      <color theme="1"/>
      <name val="Calibri"/>
      <family val="2"/>
      <scheme val="minor"/>
    </font>
    <font>
      <u/>
      <sz val="9"/>
      <color indexed="12"/>
      <name val="Arial"/>
      <family val="2"/>
    </font>
    <font>
      <sz val="9"/>
      <color rgb="FFFF0000"/>
      <name val="Cambria"/>
      <family val="1"/>
    </font>
    <font>
      <sz val="9"/>
      <color theme="1"/>
      <name val="Cambria"/>
      <family val="1"/>
    </font>
    <font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5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left" vertical="center"/>
      <protection locked="0"/>
    </xf>
    <xf numFmtId="165" fontId="10" fillId="0" borderId="2" xfId="0" applyNumberFormat="1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167" fontId="10" fillId="0" borderId="2" xfId="0" applyNumberFormat="1" applyFont="1" applyBorder="1" applyAlignment="1" applyProtection="1">
      <alignment horizontal="center" vertical="center"/>
      <protection locked="0"/>
    </xf>
    <xf numFmtId="165" fontId="10" fillId="0" borderId="2" xfId="0" applyNumberFormat="1" applyFont="1" applyBorder="1" applyAlignment="1">
      <alignment horizontal="center" vertical="center"/>
    </xf>
    <xf numFmtId="0" fontId="14" fillId="0" borderId="2" xfId="1" applyFont="1" applyFill="1" applyBorder="1" applyAlignment="1" applyProtection="1">
      <alignment horizontal="center" vertical="center"/>
      <protection locked="0"/>
    </xf>
    <xf numFmtId="167" fontId="9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5" fontId="1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12" xfId="0" applyNumberFormat="1" applyFont="1" applyBorder="1" applyAlignment="1" applyProtection="1">
      <alignment horizontal="center" vertical="center"/>
      <protection locked="0"/>
    </xf>
    <xf numFmtId="4" fontId="1" fillId="0" borderId="12" xfId="0" applyNumberFormat="1" applyFont="1" applyBorder="1" applyAlignment="1" applyProtection="1">
      <alignment horizontal="center" vertical="center"/>
      <protection locked="0"/>
    </xf>
    <xf numFmtId="165" fontId="1" fillId="0" borderId="13" xfId="0" applyNumberFormat="1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1" fillId="0" borderId="4" xfId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 applyProtection="1">
      <alignment horizontal="center" vertical="center"/>
      <protection locked="0"/>
    </xf>
    <xf numFmtId="2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49" fontId="9" fillId="0" borderId="9" xfId="0" applyNumberFormat="1" applyFont="1" applyBorder="1" applyAlignment="1" applyProtection="1">
      <alignment horizontal="left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165" fontId="9" fillId="0" borderId="9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 applyProtection="1">
      <alignment horizontal="center" vertical="center"/>
      <protection locked="0"/>
    </xf>
    <xf numFmtId="2" fontId="9" fillId="0" borderId="9" xfId="0" applyNumberFormat="1" applyFont="1" applyBorder="1" applyAlignment="1" applyProtection="1">
      <alignment horizontal="center" vertical="center"/>
      <protection locked="0"/>
    </xf>
    <xf numFmtId="4" fontId="9" fillId="0" borderId="9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Border="1"/>
    <xf numFmtId="0" fontId="12" fillId="0" borderId="15" xfId="0" applyFont="1" applyBorder="1"/>
    <xf numFmtId="0" fontId="12" fillId="0" borderId="15" xfId="0" applyFont="1" applyBorder="1" applyAlignment="1">
      <alignment horizontal="left"/>
    </xf>
    <xf numFmtId="0" fontId="3" fillId="0" borderId="15" xfId="0" applyFont="1" applyBorder="1"/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left" vertical="center"/>
      <protection locked="0"/>
    </xf>
    <xf numFmtId="2" fontId="2" fillId="0" borderId="4" xfId="0" applyNumberFormat="1" applyFont="1" applyBorder="1" applyAlignment="1" applyProtection="1">
      <alignment horizontal="left"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 applyProtection="1">
      <alignment horizontal="center" vertical="center"/>
      <protection locked="0"/>
    </xf>
    <xf numFmtId="167" fontId="10" fillId="0" borderId="4" xfId="0" applyNumberFormat="1" applyFont="1" applyBorder="1" applyAlignment="1" applyProtection="1">
      <alignment horizontal="center" vertical="center"/>
      <protection locked="0"/>
    </xf>
    <xf numFmtId="165" fontId="10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14" fillId="0" borderId="9" xfId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49" fontId="10" fillId="0" borderId="9" xfId="0" applyNumberFormat="1" applyFont="1" applyBorder="1" applyAlignment="1" applyProtection="1">
      <alignment horizontal="left" vertical="center"/>
      <protection locked="0"/>
    </xf>
    <xf numFmtId="2" fontId="2" fillId="0" borderId="9" xfId="0" applyNumberFormat="1" applyFont="1" applyBorder="1" applyAlignment="1" applyProtection="1">
      <alignment horizontal="left" vertical="center"/>
      <protection locked="0"/>
    </xf>
    <xf numFmtId="164" fontId="10" fillId="0" borderId="9" xfId="0" applyNumberFormat="1" applyFont="1" applyBorder="1" applyAlignment="1" applyProtection="1">
      <alignment horizontal="center" vertical="center"/>
      <protection locked="0"/>
    </xf>
    <xf numFmtId="167" fontId="10" fillId="0" borderId="9" xfId="0" applyNumberFormat="1" applyFont="1" applyBorder="1" applyAlignment="1" applyProtection="1">
      <alignment horizontal="center" vertical="center"/>
      <protection locked="0"/>
    </xf>
    <xf numFmtId="165" fontId="10" fillId="0" borderId="9" xfId="0" applyNumberFormat="1" applyFont="1" applyBorder="1" applyAlignment="1" applyProtection="1">
      <alignment horizontal="center" vertical="center"/>
      <protection locked="0"/>
    </xf>
    <xf numFmtId="0" fontId="15" fillId="0" borderId="14" xfId="0" applyFont="1" applyBorder="1"/>
    <xf numFmtId="0" fontId="15" fillId="0" borderId="15" xfId="0" applyFont="1" applyBorder="1"/>
    <xf numFmtId="0" fontId="15" fillId="0" borderId="15" xfId="0" applyFont="1" applyBorder="1" applyAlignment="1">
      <alignment horizontal="left"/>
    </xf>
    <xf numFmtId="0" fontId="7" fillId="0" borderId="15" xfId="0" applyFont="1" applyBorder="1"/>
    <xf numFmtId="167" fontId="9" fillId="0" borderId="4" xfId="0" applyNumberFormat="1" applyFont="1" applyBorder="1" applyAlignment="1" applyProtection="1">
      <alignment horizontal="center" vertical="center"/>
      <protection locked="0"/>
    </xf>
    <xf numFmtId="167" fontId="9" fillId="0" borderId="9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4" fillId="0" borderId="15" xfId="1" applyFont="1" applyFill="1" applyBorder="1" applyAlignment="1" applyProtection="1">
      <alignment horizontal="center" vertical="center"/>
      <protection locked="0"/>
    </xf>
    <xf numFmtId="49" fontId="10" fillId="0" borderId="15" xfId="0" applyNumberFormat="1" applyFont="1" applyBorder="1" applyAlignment="1" applyProtection="1">
      <alignment horizontal="left" vertical="center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 applyProtection="1">
      <alignment horizontal="left" vertical="center"/>
      <protection locked="0"/>
    </xf>
    <xf numFmtId="165" fontId="9" fillId="0" borderId="15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 applyProtection="1">
      <alignment horizontal="center" vertical="center"/>
      <protection locked="0"/>
    </xf>
    <xf numFmtId="164" fontId="10" fillId="0" borderId="15" xfId="0" applyNumberFormat="1" applyFont="1" applyBorder="1" applyAlignment="1" applyProtection="1">
      <alignment horizontal="center" vertical="center"/>
      <protection locked="0"/>
    </xf>
    <xf numFmtId="167" fontId="10" fillId="0" borderId="15" xfId="0" applyNumberFormat="1" applyFont="1" applyBorder="1" applyAlignment="1" applyProtection="1">
      <alignment horizontal="center" vertical="center"/>
      <protection locked="0"/>
    </xf>
    <xf numFmtId="165" fontId="10" fillId="0" borderId="15" xfId="0" applyNumberFormat="1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1" fillId="0" borderId="12" xfId="1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49" fontId="10" fillId="0" borderId="12" xfId="0" applyNumberFormat="1" applyFont="1" applyBorder="1" applyAlignment="1" applyProtection="1">
      <alignment horizontal="left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left" vertical="center"/>
      <protection locked="0"/>
    </xf>
    <xf numFmtId="165" fontId="9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 applyProtection="1">
      <alignment horizontal="center" vertical="center"/>
      <protection locked="0"/>
    </xf>
    <xf numFmtId="2" fontId="9" fillId="0" borderId="12" xfId="0" applyNumberFormat="1" applyFont="1" applyBorder="1" applyAlignment="1" applyProtection="1">
      <alignment horizontal="center" vertical="center"/>
      <protection locked="0"/>
    </xf>
    <xf numFmtId="167" fontId="9" fillId="0" borderId="12" xfId="0" applyNumberFormat="1" applyFont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locked="0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locked="0"/>
    </xf>
    <xf numFmtId="165" fontId="10" fillId="0" borderId="9" xfId="0" applyNumberFormat="1" applyFont="1" applyBorder="1" applyAlignment="1">
      <alignment horizontal="center" vertical="center"/>
    </xf>
    <xf numFmtId="0" fontId="14" fillId="0" borderId="1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165" fontId="15" fillId="0" borderId="1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6" fontId="5" fillId="0" borderId="4" xfId="0" applyNumberFormat="1" applyFont="1" applyBorder="1" applyAlignment="1" applyProtection="1">
      <alignment horizontal="center" vertical="center"/>
      <protection locked="0"/>
    </xf>
    <xf numFmtId="166" fontId="5" fillId="0" borderId="2" xfId="0" applyNumberFormat="1" applyFont="1" applyBorder="1" applyAlignment="1" applyProtection="1">
      <alignment horizontal="center" vertical="center"/>
      <protection locked="0"/>
    </xf>
    <xf numFmtId="166" fontId="5" fillId="0" borderId="9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/>
    <xf numFmtId="0" fontId="5" fillId="0" borderId="15" xfId="0" applyFont="1" applyBorder="1"/>
    <xf numFmtId="166" fontId="5" fillId="0" borderId="15" xfId="0" applyNumberFormat="1" applyFont="1" applyBorder="1" applyAlignment="1" applyProtection="1">
      <alignment horizontal="center" vertical="center"/>
      <protection locked="0"/>
    </xf>
    <xf numFmtId="16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6" fillId="0" borderId="16" xfId="0" applyFont="1" applyBorder="1"/>
    <xf numFmtId="0" fontId="5" fillId="0" borderId="16" xfId="0" applyFont="1" applyBorder="1"/>
    <xf numFmtId="165" fontId="5" fillId="0" borderId="16" xfId="0" applyNumberFormat="1" applyFont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12" fillId="0" borderId="15" xfId="0" applyFont="1" applyFill="1" applyBorder="1" applyAlignment="1">
      <alignment horizontal="left"/>
    </xf>
    <xf numFmtId="0" fontId="15" fillId="0" borderId="15" xfId="0" applyFont="1" applyFill="1" applyBorder="1" applyAlignment="1">
      <alignment horizontal="left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6" formatCode="[$$-10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7" formatCode="#,##0.0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7" formatCode="#,##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4" formatCode="0.0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1"/>
      </font>
      <numFmt numFmtId="165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388620</xdr:colOff>
      <xdr:row>27</xdr:row>
      <xdr:rowOff>68580</xdr:rowOff>
    </xdr:from>
    <xdr:to>
      <xdr:col>10</xdr:col>
      <xdr:colOff>502920</xdr:colOff>
      <xdr:row>28</xdr:row>
      <xdr:rowOff>137160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62BC7E7-BB38-43A7-BB69-D039086EC109}"/>
            </a:ext>
          </a:extLst>
        </xdr:cNvPr>
        <xdr:cNvSpPr/>
      </xdr:nvSpPr>
      <xdr:spPr>
        <a:xfrm>
          <a:off x="7307580" y="6446520"/>
          <a:ext cx="11430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E" sz="1100"/>
        </a:p>
      </xdr:txBody>
    </xdr:sp>
    <xdr:clientData/>
  </xdr:twoCellAnchor>
  <xdr:oneCellAnchor>
    <xdr:from>
      <xdr:col>2</xdr:col>
      <xdr:colOff>338667</xdr:colOff>
      <xdr:row>0</xdr:row>
      <xdr:rowOff>177800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A139CF-8729-4F85-89BA-08537836CC7C}"/>
            </a:ext>
          </a:extLst>
        </xdr:cNvPr>
        <xdr:cNvSpPr txBox="1"/>
      </xdr:nvSpPr>
      <xdr:spPr>
        <a:xfrm>
          <a:off x="2403687" y="37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B72097-EE86-49C3-8B6D-3538A35966BE}" name="Table1" displayName="Table1" ref="A3:U34" totalsRowCount="1" headerRowDxfId="8" dataDxfId="47" totalsRowDxfId="10" headerRowBorderDxfId="9" tableBorderDxfId="46" totalsRowBorderDxfId="45">
  <autoFilter ref="A3:U33" xr:uid="{8BB72097-EE86-49C3-8B6D-3538A35966BE}"/>
  <tableColumns count="21">
    <tableColumn id="1" xr3:uid="{E89E21C8-9FEF-41BA-BFDF-C4BE997FF0EB}" name="Sr" totalsRowFunction="count" dataDxfId="44" totalsRowDxfId="43"/>
    <tableColumn id="2" xr3:uid="{3E637F36-E562-4E6F-A026-D059ED23D564}" name="Length" dataDxfId="42" totalsRowDxfId="41"/>
    <tableColumn id="3" xr3:uid="{28AF1B97-D007-4E7B-8F8D-23F489C62274}" name="ITEM" dataDxfId="40" totalsRowDxfId="39"/>
    <tableColumn id="4" xr3:uid="{CC208E05-982C-443F-A87D-EFBFDD08188B}" name="LAB" dataDxfId="2" totalsRowDxfId="38" dataCellStyle="Hyperlink"/>
    <tableColumn id="5" xr3:uid="{C42155F1-F65E-4C97-A0B2-BEDF720E86BE}" name="Cert Number" dataDxfId="0" totalsRowDxfId="37"/>
    <tableColumn id="6" xr3:uid="{0CDAD7B9-3F37-4949-B7AB-7944C63D20AF}" name="Parcel Id" dataDxfId="1" totalsRowDxfId="36"/>
    <tableColumn id="7" xr3:uid="{8A7E6006-CD19-408E-9AA2-1B41BBEF0B64}" name="Size2" dataDxfId="35" totalsRowDxfId="34"/>
    <tableColumn id="8" xr3:uid="{96B12114-E1C9-43BA-8D93-06FF2A602145}" name="Avg Pts" dataDxfId="33" totalsRowDxfId="32">
      <calculatedColumnFormula>J4/I4</calculatedColumnFormula>
    </tableColumn>
    <tableColumn id="9" xr3:uid="{4E912B60-96F9-4F56-BC02-ABA9AE64E30F}" name="No.Pcs" totalsRowFunction="sum" dataDxfId="31" totalsRowDxfId="30"/>
    <tableColumn id="10" xr3:uid="{45EA29D6-0D6E-48A0-923E-224DC688F6F6}" name="Diam Cts" totalsRowFunction="sum" dataDxfId="29" totalsRowDxfId="28"/>
    <tableColumn id="11" xr3:uid="{582BD39B-C561-4C28-BBDA-5E84BC2E10EB}" name="Col - Clarity" dataDxfId="27" totalsRowDxfId="26"/>
    <tableColumn id="12" xr3:uid="{177F56AE-851B-4228-9B65-C6A24D9D81DB}" name="LOT" dataDxfId="7" totalsRowDxfId="25"/>
    <tableColumn id="13" xr3:uid="{AA2122B1-FE90-4CAF-8BF9-F4640475EAF5}" name="Per/ct" dataDxfId="5" totalsRowDxfId="24"/>
    <tableColumn id="14" xr3:uid="{6F8E38AD-2160-4F51-B617-9A1D215BD70C}" name="Diam Total" totalsRowFunction="sum" dataDxfId="6" totalsRowDxfId="23">
      <calculatedColumnFormula>M4*J4</calculatedColumnFormula>
    </tableColumn>
    <tableColumn id="15" xr3:uid="{723EC222-2958-40BA-9D1B-F62C1D92E619}" name="Gold/gm" dataDxfId="22" totalsRowDxfId="21"/>
    <tableColumn id="16" xr3:uid="{003D383D-6FA5-4944-9C67-406A04C9DD6E}" name="Gross Gm" totalsRowFunction="sum" dataDxfId="20" totalsRowDxfId="19"/>
    <tableColumn id="17" xr3:uid="{492AAA74-1B44-4B9E-A550-75D4087EAF73}" name="Net Gm" totalsRowFunction="sum" dataDxfId="18" totalsRowDxfId="17"/>
    <tableColumn id="18" xr3:uid="{DC29C78C-50AE-4128-87C2-1617B43C9336}" name="Gold Total" totalsRowFunction="sum" dataDxfId="16" totalsRowDxfId="15"/>
    <tableColumn id="19" xr3:uid="{0D230336-017B-40CD-9F8B-C07D4AA9E2F3}" name="Labour" totalsRowFunction="sum" dataDxfId="14" totalsRowDxfId="13"/>
    <tableColumn id="20" xr3:uid="{5CE9AACE-0A86-473B-9F81-72539FB7CD84}" name="Cert Exp" totalsRowFunction="sum" dataDxfId="4" totalsRowDxfId="12"/>
    <tableColumn id="21" xr3:uid="{8FEE77DA-B2CA-4743-802A-1D74698D01BC}" name="Total Amt" totalsRowFunction="sum" dataDxfId="3" totalsRow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tonia.aspgulf.net/certificate/J250000053269%20EF%20VS%209.17ct.pdf" TargetMode="External"/><Relationship Id="rId3" Type="http://schemas.openxmlformats.org/officeDocument/2006/relationships/hyperlink" Target="https://antonia.aspgulf.net/certificate/J250000085194%2039pcs-5.59ct.pdf" TargetMode="External"/><Relationship Id="rId7" Type="http://schemas.openxmlformats.org/officeDocument/2006/relationships/hyperlink" Target="https://antonia.aspgulf.net/certificate/J250000112865%2015.91ct.pdf" TargetMode="External"/><Relationship Id="rId2" Type="http://schemas.openxmlformats.org/officeDocument/2006/relationships/hyperlink" Target="https://antonia.aspgulf.net/certificate/J250000130902%204.51ct-42pcs.pdf" TargetMode="External"/><Relationship Id="rId1" Type="http://schemas.openxmlformats.org/officeDocument/2006/relationships/hyperlink" Target="https://antonia.aspgulf.net/certificate/J250000112866%203.34ct%20Brc.pdf" TargetMode="External"/><Relationship Id="rId6" Type="http://schemas.openxmlformats.org/officeDocument/2006/relationships/hyperlink" Target="https://antonia.aspgulf.net/certificate/49J9579525-36pcs-12.84ct.pdf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antonia.aspgulf.net/certificate/J250000081111%20EF%20VVS-VS%209.16ct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antonia.aspgulf.net/certificate/J250000085189%20EF%20VS%206.42ct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269E-6144-4367-98E2-FFD6BEF6FD29}">
  <dimension ref="A1:U36"/>
  <sheetViews>
    <sheetView tabSelected="1" zoomScaleNormal="100" workbookViewId="0">
      <selection activeCell="L25" sqref="L25"/>
    </sheetView>
  </sheetViews>
  <sheetFormatPr defaultColWidth="8.88671875" defaultRowHeight="16.2" customHeight="1" x14ac:dyDescent="0.3"/>
  <cols>
    <col min="1" max="1" width="4.5546875" style="1" customWidth="1"/>
    <col min="2" max="2" width="8.109375" style="1" customWidth="1"/>
    <col min="3" max="3" width="17.33203125" style="1" bestFit="1" customWidth="1"/>
    <col min="4" max="4" width="6.44140625" style="1" customWidth="1"/>
    <col min="5" max="5" width="12.21875" style="6" customWidth="1"/>
    <col min="6" max="6" width="10" style="1" bestFit="1" customWidth="1"/>
    <col min="7" max="7" width="6.88671875" style="1" customWidth="1"/>
    <col min="8" max="8" width="7.109375" style="1" customWidth="1"/>
    <col min="9" max="9" width="6.33203125" style="1" customWidth="1"/>
    <col min="10" max="10" width="7.6640625" style="1" customWidth="1"/>
    <col min="11" max="11" width="9.109375" style="1" customWidth="1"/>
    <col min="12" max="12" width="7.109375" style="1" customWidth="1"/>
    <col min="13" max="13" width="8.88671875" style="1"/>
    <col min="14" max="14" width="10.77734375" style="1" customWidth="1"/>
    <col min="15" max="15" width="8.109375" style="1" customWidth="1"/>
    <col min="16" max="16" width="8.5546875" style="1" customWidth="1"/>
    <col min="17" max="17" width="7.44140625" style="1" customWidth="1"/>
    <col min="18" max="18" width="11" style="1" customWidth="1"/>
    <col min="19" max="19" width="8.88671875" style="1"/>
    <col min="20" max="20" width="9.33203125" style="1" customWidth="1"/>
    <col min="21" max="21" width="10.44140625" style="1" customWidth="1"/>
    <col min="22" max="16384" width="8.88671875" style="1"/>
  </cols>
  <sheetData>
    <row r="1" spans="1:21" ht="16.2" customHeight="1" x14ac:dyDescent="0.3">
      <c r="A1" s="145" t="s">
        <v>103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 ht="16.2" customHeight="1" x14ac:dyDescent="0.3">
      <c r="A2" s="145" t="s">
        <v>102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6.2" customHeight="1" x14ac:dyDescent="0.3">
      <c r="A3" s="28" t="s">
        <v>0</v>
      </c>
      <c r="B3" s="29" t="s">
        <v>1</v>
      </c>
      <c r="C3" s="30" t="s">
        <v>4</v>
      </c>
      <c r="D3" s="29" t="s">
        <v>5</v>
      </c>
      <c r="E3" s="30" t="s">
        <v>6</v>
      </c>
      <c r="F3" s="30" t="s">
        <v>7</v>
      </c>
      <c r="G3" s="31" t="s">
        <v>8</v>
      </c>
      <c r="H3" s="32" t="s">
        <v>9</v>
      </c>
      <c r="I3" s="29" t="s">
        <v>10</v>
      </c>
      <c r="J3" s="29" t="s">
        <v>11</v>
      </c>
      <c r="K3" s="30" t="s">
        <v>12</v>
      </c>
      <c r="L3" s="29" t="s">
        <v>34</v>
      </c>
      <c r="M3" s="29" t="s">
        <v>35</v>
      </c>
      <c r="N3" s="33" t="s">
        <v>36</v>
      </c>
      <c r="O3" s="34" t="s">
        <v>37</v>
      </c>
      <c r="P3" s="35" t="s">
        <v>38</v>
      </c>
      <c r="Q3" s="36" t="s">
        <v>39</v>
      </c>
      <c r="R3" s="33" t="s">
        <v>40</v>
      </c>
      <c r="S3" s="33" t="s">
        <v>41</v>
      </c>
      <c r="T3" s="34" t="s">
        <v>42</v>
      </c>
      <c r="U3" s="37" t="s">
        <v>43</v>
      </c>
    </row>
    <row r="4" spans="1:21" ht="16.2" customHeight="1" x14ac:dyDescent="0.3">
      <c r="A4" s="38">
        <v>1</v>
      </c>
      <c r="B4" s="39" t="s">
        <v>2</v>
      </c>
      <c r="C4" s="40" t="s">
        <v>13</v>
      </c>
      <c r="D4" s="41" t="s">
        <v>14</v>
      </c>
      <c r="E4" s="147" t="s">
        <v>15</v>
      </c>
      <c r="F4" s="40" t="s">
        <v>16</v>
      </c>
      <c r="G4" s="42" t="s">
        <v>17</v>
      </c>
      <c r="H4" s="43">
        <f>J4/I4</f>
        <v>1.02</v>
      </c>
      <c r="I4" s="44">
        <v>1</v>
      </c>
      <c r="J4" s="44">
        <v>1.02</v>
      </c>
      <c r="K4" s="45" t="s">
        <v>18</v>
      </c>
      <c r="L4" s="44" t="s">
        <v>44</v>
      </c>
      <c r="M4" s="129">
        <v>1350</v>
      </c>
      <c r="N4" s="46">
        <f>M4*J4</f>
        <v>1377</v>
      </c>
      <c r="O4" s="47"/>
      <c r="P4" s="48"/>
      <c r="Q4" s="49"/>
      <c r="R4" s="46"/>
      <c r="S4" s="46"/>
      <c r="T4" s="47"/>
      <c r="U4" s="137"/>
    </row>
    <row r="5" spans="1:21" ht="16.2" customHeight="1" x14ac:dyDescent="0.3">
      <c r="A5" s="50"/>
      <c r="B5" s="11"/>
      <c r="C5" s="8"/>
      <c r="D5" s="11"/>
      <c r="E5" s="148"/>
      <c r="F5" s="8" t="s">
        <v>16</v>
      </c>
      <c r="G5" s="9" t="s">
        <v>19</v>
      </c>
      <c r="H5" s="10">
        <f>J5/I5</f>
        <v>9.7692307692307689E-2</v>
      </c>
      <c r="I5" s="11">
        <v>13</v>
      </c>
      <c r="J5" s="11">
        <v>1.27</v>
      </c>
      <c r="K5" s="12" t="s">
        <v>20</v>
      </c>
      <c r="L5" s="11" t="s">
        <v>45</v>
      </c>
      <c r="M5" s="130">
        <v>525</v>
      </c>
      <c r="N5" s="13">
        <f>M5*J5</f>
        <v>666.75</v>
      </c>
      <c r="O5" s="14"/>
      <c r="P5" s="15"/>
      <c r="Q5" s="16"/>
      <c r="R5" s="13"/>
      <c r="S5" s="13"/>
      <c r="T5" s="14"/>
      <c r="U5" s="138"/>
    </row>
    <row r="6" spans="1:21" ht="16.2" customHeight="1" x14ac:dyDescent="0.3">
      <c r="A6" s="51"/>
      <c r="B6" s="52"/>
      <c r="C6" s="53" t="s">
        <v>21</v>
      </c>
      <c r="D6" s="52"/>
      <c r="E6" s="149"/>
      <c r="F6" s="54" t="s">
        <v>22</v>
      </c>
      <c r="G6" s="55" t="s">
        <v>23</v>
      </c>
      <c r="H6" s="56">
        <f>J6/I6</f>
        <v>3.5000000000000003E-2</v>
      </c>
      <c r="I6" s="52">
        <v>30</v>
      </c>
      <c r="J6" s="52">
        <v>1.05</v>
      </c>
      <c r="K6" s="53" t="s">
        <v>24</v>
      </c>
      <c r="L6" s="52" t="s">
        <v>46</v>
      </c>
      <c r="M6" s="131">
        <v>425</v>
      </c>
      <c r="N6" s="57">
        <f>M6*J6</f>
        <v>446.25</v>
      </c>
      <c r="O6" s="58">
        <v>125</v>
      </c>
      <c r="P6" s="59">
        <v>6.85</v>
      </c>
      <c r="Q6" s="60">
        <v>6.1820000000000004</v>
      </c>
      <c r="R6" s="57">
        <f>Q6*O6</f>
        <v>772.75</v>
      </c>
      <c r="S6" s="57">
        <v>205</v>
      </c>
      <c r="T6" s="58">
        <f>19.5*3.34</f>
        <v>65.13</v>
      </c>
      <c r="U6" s="139">
        <f>T6+S6+R6+N4+N5+N6</f>
        <v>3532.88</v>
      </c>
    </row>
    <row r="7" spans="1:21" ht="16.2" customHeight="1" x14ac:dyDescent="0.3">
      <c r="A7" s="61"/>
      <c r="B7" s="62"/>
      <c r="C7" s="63"/>
      <c r="D7" s="62"/>
      <c r="E7" s="150"/>
      <c r="F7" s="63"/>
      <c r="G7" s="63"/>
      <c r="H7" s="62"/>
      <c r="I7" s="62"/>
      <c r="J7" s="62"/>
      <c r="K7" s="64"/>
      <c r="L7" s="62"/>
      <c r="M7" s="132"/>
      <c r="N7" s="62"/>
      <c r="O7" s="62"/>
      <c r="P7" s="62"/>
      <c r="Q7" s="62"/>
      <c r="R7" s="62"/>
      <c r="S7" s="62"/>
      <c r="T7" s="62"/>
      <c r="U7" s="140"/>
    </row>
    <row r="8" spans="1:21" ht="16.2" customHeight="1" x14ac:dyDescent="0.3">
      <c r="A8" s="65">
        <v>2</v>
      </c>
      <c r="B8" s="66" t="s">
        <v>3</v>
      </c>
      <c r="C8" s="67" t="s">
        <v>25</v>
      </c>
      <c r="D8" s="68" t="s">
        <v>14</v>
      </c>
      <c r="E8" s="147" t="s">
        <v>26</v>
      </c>
      <c r="F8" s="67" t="s">
        <v>27</v>
      </c>
      <c r="G8" s="69" t="s">
        <v>17</v>
      </c>
      <c r="H8" s="43">
        <f>J8/I8</f>
        <v>1.01</v>
      </c>
      <c r="I8" s="39">
        <v>1</v>
      </c>
      <c r="J8" s="48">
        <v>1.01</v>
      </c>
      <c r="K8" s="70" t="s">
        <v>28</v>
      </c>
      <c r="L8" s="39" t="s">
        <v>47</v>
      </c>
      <c r="M8" s="129">
        <v>1550</v>
      </c>
      <c r="N8" s="46">
        <f>M8*J8</f>
        <v>1565.5</v>
      </c>
      <c r="O8" s="71"/>
      <c r="P8" s="72"/>
      <c r="Q8" s="73"/>
      <c r="R8" s="74"/>
      <c r="S8" s="74"/>
      <c r="T8" s="71"/>
      <c r="U8" s="137"/>
    </row>
    <row r="9" spans="1:21" ht="16.2" customHeight="1" x14ac:dyDescent="0.3">
      <c r="A9" s="75"/>
      <c r="B9" s="7"/>
      <c r="C9" s="18"/>
      <c r="D9" s="25"/>
      <c r="E9" s="148"/>
      <c r="F9" s="18" t="s">
        <v>27</v>
      </c>
      <c r="G9" s="19" t="s">
        <v>29</v>
      </c>
      <c r="H9" s="10">
        <f>J9/I9</f>
        <v>5.7619047619047618E-2</v>
      </c>
      <c r="I9" s="7">
        <v>21</v>
      </c>
      <c r="J9" s="15">
        <v>1.21</v>
      </c>
      <c r="K9" s="20" t="s">
        <v>30</v>
      </c>
      <c r="L9" s="7" t="s">
        <v>48</v>
      </c>
      <c r="M9" s="130">
        <v>450</v>
      </c>
      <c r="N9" s="13">
        <f>M9*J9</f>
        <v>544.5</v>
      </c>
      <c r="O9" s="21"/>
      <c r="P9" s="22"/>
      <c r="Q9" s="23"/>
      <c r="R9" s="24"/>
      <c r="S9" s="24"/>
      <c r="T9" s="21"/>
      <c r="U9" s="138"/>
    </row>
    <row r="10" spans="1:21" ht="16.2" customHeight="1" x14ac:dyDescent="0.3">
      <c r="A10" s="76"/>
      <c r="B10" s="77"/>
      <c r="C10" s="78" t="s">
        <v>31</v>
      </c>
      <c r="D10" s="79"/>
      <c r="E10" s="149"/>
      <c r="F10" s="80" t="s">
        <v>32</v>
      </c>
      <c r="G10" s="81" t="s">
        <v>19</v>
      </c>
      <c r="H10" s="56">
        <f>J10/I10</f>
        <v>0.1145</v>
      </c>
      <c r="I10" s="77">
        <v>20</v>
      </c>
      <c r="J10" s="59">
        <v>2.29</v>
      </c>
      <c r="K10" s="82" t="s">
        <v>33</v>
      </c>
      <c r="L10" s="77" t="s">
        <v>49</v>
      </c>
      <c r="M10" s="131">
        <v>600</v>
      </c>
      <c r="N10" s="57">
        <f>M10*J10</f>
        <v>1374</v>
      </c>
      <c r="O10" s="58">
        <v>125</v>
      </c>
      <c r="P10" s="83">
        <v>7.31</v>
      </c>
      <c r="Q10" s="84">
        <v>6.4279999999999999</v>
      </c>
      <c r="R10" s="57">
        <f>Q10*O10</f>
        <v>803.5</v>
      </c>
      <c r="S10" s="57">
        <v>205</v>
      </c>
      <c r="T10" s="85">
        <f>19.5*4.51</f>
        <v>87.944999999999993</v>
      </c>
      <c r="U10" s="139">
        <f>T10+S10+R10+N8+N9+N10</f>
        <v>4580.4449999999997</v>
      </c>
    </row>
    <row r="11" spans="1:21" ht="16.2" customHeight="1" x14ac:dyDescent="0.3">
      <c r="A11" s="86"/>
      <c r="B11" s="87"/>
      <c r="C11" s="88"/>
      <c r="D11" s="87"/>
      <c r="E11" s="151"/>
      <c r="F11" s="88"/>
      <c r="G11" s="88"/>
      <c r="H11" s="87"/>
      <c r="I11" s="87"/>
      <c r="J11" s="87"/>
      <c r="K11" s="89"/>
      <c r="L11" s="87"/>
      <c r="M11" s="133"/>
      <c r="N11" s="87"/>
      <c r="O11" s="87"/>
      <c r="P11" s="87"/>
      <c r="Q11" s="87"/>
      <c r="R11" s="87"/>
      <c r="S11" s="87"/>
      <c r="T11" s="87"/>
      <c r="U11" s="141"/>
    </row>
    <row r="12" spans="1:21" ht="16.2" customHeight="1" x14ac:dyDescent="0.3">
      <c r="A12" s="65">
        <v>3</v>
      </c>
      <c r="B12" s="66" t="s">
        <v>3</v>
      </c>
      <c r="C12" s="40" t="s">
        <v>50</v>
      </c>
      <c r="D12" s="41" t="s">
        <v>14</v>
      </c>
      <c r="E12" s="147" t="s">
        <v>51</v>
      </c>
      <c r="F12" s="67" t="s">
        <v>52</v>
      </c>
      <c r="G12" s="69" t="s">
        <v>53</v>
      </c>
      <c r="H12" s="43">
        <f>J12/I12</f>
        <v>0.20249999999999999</v>
      </c>
      <c r="I12" s="39">
        <v>20</v>
      </c>
      <c r="J12" s="44">
        <v>4.05</v>
      </c>
      <c r="K12" s="70" t="s">
        <v>33</v>
      </c>
      <c r="L12" s="39" t="s">
        <v>57</v>
      </c>
      <c r="M12" s="129">
        <v>715</v>
      </c>
      <c r="N12" s="46">
        <f>M12*J12</f>
        <v>2895.75</v>
      </c>
      <c r="O12" s="71"/>
      <c r="P12" s="48"/>
      <c r="Q12" s="90"/>
      <c r="R12" s="74"/>
      <c r="S12" s="74"/>
      <c r="T12" s="71"/>
      <c r="U12" s="137"/>
    </row>
    <row r="13" spans="1:21" ht="16.2" customHeight="1" x14ac:dyDescent="0.3">
      <c r="A13" s="76"/>
      <c r="B13" s="77"/>
      <c r="C13" s="53" t="s">
        <v>54</v>
      </c>
      <c r="D13" s="77"/>
      <c r="E13" s="149"/>
      <c r="F13" s="80" t="s">
        <v>55</v>
      </c>
      <c r="G13" s="81" t="s">
        <v>19</v>
      </c>
      <c r="H13" s="56">
        <f>J13/I13</f>
        <v>8.1052631578947376E-2</v>
      </c>
      <c r="I13" s="77">
        <v>19</v>
      </c>
      <c r="J13" s="52">
        <v>1.54</v>
      </c>
      <c r="K13" s="82" t="s">
        <v>56</v>
      </c>
      <c r="L13" s="77" t="s">
        <v>58</v>
      </c>
      <c r="M13" s="131">
        <v>550</v>
      </c>
      <c r="N13" s="57">
        <f>M13*J13</f>
        <v>847</v>
      </c>
      <c r="O13" s="58">
        <v>125</v>
      </c>
      <c r="P13" s="59">
        <v>7.59</v>
      </c>
      <c r="Q13" s="91">
        <v>6.4720000000000004</v>
      </c>
      <c r="R13" s="57">
        <f>Q13*O13</f>
        <v>809</v>
      </c>
      <c r="S13" s="57">
        <v>205</v>
      </c>
      <c r="T13" s="85">
        <f>19.5*5.59</f>
        <v>109.005</v>
      </c>
      <c r="U13" s="139">
        <f>T13+S13+R13+N12+N13</f>
        <v>4865.7550000000001</v>
      </c>
    </row>
    <row r="14" spans="1:21" ht="16.2" customHeight="1" x14ac:dyDescent="0.3">
      <c r="A14" s="92"/>
      <c r="B14" s="93"/>
      <c r="C14" s="94"/>
      <c r="D14" s="95"/>
      <c r="E14" s="152"/>
      <c r="F14" s="94"/>
      <c r="G14" s="96"/>
      <c r="H14" s="97"/>
      <c r="I14" s="93"/>
      <c r="J14" s="98"/>
      <c r="K14" s="99"/>
      <c r="L14" s="93"/>
      <c r="M14" s="134"/>
      <c r="N14" s="100"/>
      <c r="O14" s="101"/>
      <c r="P14" s="102"/>
      <c r="Q14" s="103"/>
      <c r="R14" s="104"/>
      <c r="S14" s="104"/>
      <c r="T14" s="101"/>
      <c r="U14" s="142"/>
    </row>
    <row r="15" spans="1:21" ht="16.2" customHeight="1" x14ac:dyDescent="0.3">
      <c r="A15" s="105">
        <v>4</v>
      </c>
      <c r="B15" s="106" t="s">
        <v>59</v>
      </c>
      <c r="C15" s="107" t="s">
        <v>60</v>
      </c>
      <c r="D15" s="108" t="s">
        <v>14</v>
      </c>
      <c r="E15" s="153" t="s">
        <v>61</v>
      </c>
      <c r="F15" s="107" t="s">
        <v>62</v>
      </c>
      <c r="G15" s="110" t="s">
        <v>53</v>
      </c>
      <c r="H15" s="111">
        <f>J15/I15</f>
        <v>0.200625</v>
      </c>
      <c r="I15" s="106">
        <v>32</v>
      </c>
      <c r="J15" s="112">
        <v>6.42</v>
      </c>
      <c r="K15" s="113" t="s">
        <v>20</v>
      </c>
      <c r="L15" s="106" t="s">
        <v>57</v>
      </c>
      <c r="M15" s="135">
        <v>715</v>
      </c>
      <c r="N15" s="114">
        <f>M15*J15</f>
        <v>4590.3</v>
      </c>
      <c r="O15" s="115">
        <v>125</v>
      </c>
      <c r="P15" s="116">
        <v>8.25</v>
      </c>
      <c r="Q15" s="117">
        <v>6.9660000000000002</v>
      </c>
      <c r="R15" s="114">
        <f>Q15*O15</f>
        <v>870.75</v>
      </c>
      <c r="S15" s="114">
        <v>205</v>
      </c>
      <c r="T15" s="118">
        <f>19.5*J15</f>
        <v>125.19</v>
      </c>
      <c r="U15" s="143">
        <f>T15+S15+R15+N15</f>
        <v>5791.24</v>
      </c>
    </row>
    <row r="16" spans="1:21" ht="16.2" customHeight="1" x14ac:dyDescent="0.3">
      <c r="A16" s="61"/>
      <c r="B16" s="62"/>
      <c r="C16" s="63"/>
      <c r="D16" s="62"/>
      <c r="E16" s="150"/>
      <c r="F16" s="63"/>
      <c r="G16" s="63"/>
      <c r="H16" s="62"/>
      <c r="I16" s="62"/>
      <c r="J16" s="62"/>
      <c r="K16" s="64"/>
      <c r="L16" s="62"/>
      <c r="M16" s="132"/>
      <c r="N16" s="62"/>
      <c r="O16" s="62"/>
      <c r="P16" s="62"/>
      <c r="Q16" s="62"/>
      <c r="R16" s="62"/>
      <c r="S16" s="62"/>
      <c r="T16" s="62"/>
      <c r="U16" s="140"/>
    </row>
    <row r="17" spans="1:21" ht="16.2" customHeight="1" x14ac:dyDescent="0.3">
      <c r="A17" s="105">
        <v>5</v>
      </c>
      <c r="B17" s="106" t="s">
        <v>2</v>
      </c>
      <c r="C17" s="107" t="s">
        <v>60</v>
      </c>
      <c r="D17" s="108" t="s">
        <v>14</v>
      </c>
      <c r="E17" s="153" t="s">
        <v>63</v>
      </c>
      <c r="F17" s="107" t="s">
        <v>62</v>
      </c>
      <c r="G17" s="110" t="s">
        <v>53</v>
      </c>
      <c r="H17" s="111">
        <f>J17/I17</f>
        <v>0.18693877551020407</v>
      </c>
      <c r="I17" s="106">
        <v>49</v>
      </c>
      <c r="J17" s="112">
        <v>9.16</v>
      </c>
      <c r="K17" s="113" t="s">
        <v>56</v>
      </c>
      <c r="L17" s="106" t="s">
        <v>57</v>
      </c>
      <c r="M17" s="135">
        <v>750</v>
      </c>
      <c r="N17" s="114">
        <f>M17*J17</f>
        <v>6870</v>
      </c>
      <c r="O17" s="115">
        <v>125</v>
      </c>
      <c r="P17" s="116">
        <v>12.74</v>
      </c>
      <c r="Q17" s="119">
        <v>10.907999999999999</v>
      </c>
      <c r="R17" s="114">
        <f>Q17*O17</f>
        <v>1363.5</v>
      </c>
      <c r="S17" s="120">
        <v>225</v>
      </c>
      <c r="T17" s="118">
        <f>19.5*J17</f>
        <v>178.62</v>
      </c>
      <c r="U17" s="144">
        <f>T17+S17+R17+N17</f>
        <v>8637.119999999999</v>
      </c>
    </row>
    <row r="18" spans="1:21" ht="16.2" customHeight="1" x14ac:dyDescent="0.3">
      <c r="A18" s="86"/>
      <c r="B18" s="87"/>
      <c r="C18" s="88"/>
      <c r="D18" s="87"/>
      <c r="E18" s="151"/>
      <c r="F18" s="88"/>
      <c r="G18" s="88"/>
      <c r="H18" s="87"/>
      <c r="I18" s="87"/>
      <c r="J18" s="87"/>
      <c r="K18" s="89"/>
      <c r="L18" s="87"/>
      <c r="M18" s="133"/>
      <c r="N18" s="87"/>
      <c r="O18" s="87"/>
      <c r="P18" s="87"/>
      <c r="Q18" s="87"/>
      <c r="R18" s="87"/>
      <c r="S18" s="87"/>
      <c r="T18" s="87"/>
      <c r="U18" s="141"/>
    </row>
    <row r="19" spans="1:21" ht="16.2" customHeight="1" x14ac:dyDescent="0.3">
      <c r="A19" s="65">
        <v>6</v>
      </c>
      <c r="B19" s="66" t="s">
        <v>3</v>
      </c>
      <c r="C19" s="40" t="s">
        <v>64</v>
      </c>
      <c r="D19" s="41" t="s">
        <v>65</v>
      </c>
      <c r="E19" s="147" t="s">
        <v>66</v>
      </c>
      <c r="F19" s="67" t="s">
        <v>67</v>
      </c>
      <c r="G19" s="69" t="s">
        <v>68</v>
      </c>
      <c r="H19" s="43">
        <f>J19/I19</f>
        <v>0.32166666666666666</v>
      </c>
      <c r="I19" s="39">
        <v>18</v>
      </c>
      <c r="J19" s="44">
        <v>5.79</v>
      </c>
      <c r="K19" s="70" t="s">
        <v>69</v>
      </c>
      <c r="L19" s="39" t="s">
        <v>74</v>
      </c>
      <c r="M19" s="129">
        <v>675</v>
      </c>
      <c r="N19" s="46">
        <f>M19*J19</f>
        <v>3908.25</v>
      </c>
      <c r="O19" s="71"/>
      <c r="P19" s="48"/>
      <c r="Q19" s="90"/>
      <c r="R19" s="74"/>
      <c r="S19" s="74"/>
      <c r="T19" s="71"/>
      <c r="U19" s="137"/>
    </row>
    <row r="20" spans="1:21" ht="16.2" customHeight="1" x14ac:dyDescent="0.3">
      <c r="A20" s="75"/>
      <c r="B20" s="17"/>
      <c r="C20" s="8"/>
      <c r="D20" s="27"/>
      <c r="E20" s="148"/>
      <c r="F20" s="18" t="s">
        <v>22</v>
      </c>
      <c r="G20" s="19" t="s">
        <v>70</v>
      </c>
      <c r="H20" s="10">
        <f>J20/I20</f>
        <v>0.55000000000000004</v>
      </c>
      <c r="I20" s="7">
        <v>9</v>
      </c>
      <c r="J20" s="11">
        <v>4.95</v>
      </c>
      <c r="K20" s="20" t="s">
        <v>71</v>
      </c>
      <c r="L20" s="7" t="s">
        <v>75</v>
      </c>
      <c r="M20" s="130">
        <v>700</v>
      </c>
      <c r="N20" s="13">
        <f>M20*J20</f>
        <v>3465</v>
      </c>
      <c r="O20" s="21"/>
      <c r="P20" s="15"/>
      <c r="Q20" s="26"/>
      <c r="R20" s="24"/>
      <c r="S20" s="24"/>
      <c r="T20" s="21"/>
      <c r="U20" s="138"/>
    </row>
    <row r="21" spans="1:21" ht="16.2" customHeight="1" x14ac:dyDescent="0.3">
      <c r="A21" s="76"/>
      <c r="B21" s="121"/>
      <c r="C21" s="53" t="s">
        <v>72</v>
      </c>
      <c r="D21" s="122"/>
      <c r="E21" s="149"/>
      <c r="F21" s="80" t="s">
        <v>22</v>
      </c>
      <c r="G21" s="81" t="s">
        <v>73</v>
      </c>
      <c r="H21" s="56">
        <f>J21/I21</f>
        <v>0.23333333333333328</v>
      </c>
      <c r="I21" s="77">
        <v>9</v>
      </c>
      <c r="J21" s="59">
        <v>2.0999999999999996</v>
      </c>
      <c r="K21" s="82" t="s">
        <v>71</v>
      </c>
      <c r="L21" s="77" t="s">
        <v>76</v>
      </c>
      <c r="M21" s="131">
        <v>600</v>
      </c>
      <c r="N21" s="57">
        <f>M21*J21</f>
        <v>1259.9999999999998</v>
      </c>
      <c r="O21" s="58">
        <v>125</v>
      </c>
      <c r="P21" s="59">
        <v>12.35</v>
      </c>
      <c r="Q21" s="91">
        <v>9.782</v>
      </c>
      <c r="R21" s="57">
        <f>Q21*O21</f>
        <v>1222.75</v>
      </c>
      <c r="S21" s="123">
        <v>225</v>
      </c>
      <c r="T21" s="85">
        <f>15*12.84</f>
        <v>192.6</v>
      </c>
      <c r="U21" s="139">
        <f>T21+S21+R21+N19+N20+N21</f>
        <v>10273.6</v>
      </c>
    </row>
    <row r="22" spans="1:21" ht="16.2" customHeight="1" x14ac:dyDescent="0.3">
      <c r="A22" s="86"/>
      <c r="B22" s="87"/>
      <c r="C22" s="88"/>
      <c r="D22" s="87"/>
      <c r="E22" s="151"/>
      <c r="F22" s="88"/>
      <c r="G22" s="88"/>
      <c r="H22" s="87"/>
      <c r="I22" s="87"/>
      <c r="J22" s="87"/>
      <c r="K22" s="89"/>
      <c r="L22" s="87"/>
      <c r="M22" s="133"/>
      <c r="N22" s="87"/>
      <c r="O22" s="87"/>
      <c r="P22" s="87"/>
      <c r="Q22" s="87"/>
      <c r="R22" s="87"/>
      <c r="S22" s="87"/>
      <c r="T22" s="87"/>
      <c r="U22" s="141"/>
    </row>
    <row r="23" spans="1:21" ht="16.2" customHeight="1" x14ac:dyDescent="0.3">
      <c r="A23" s="65">
        <v>7</v>
      </c>
      <c r="B23" s="66" t="s">
        <v>3</v>
      </c>
      <c r="C23" s="40" t="s">
        <v>77</v>
      </c>
      <c r="D23" s="41" t="s">
        <v>14</v>
      </c>
      <c r="E23" s="147" t="s">
        <v>78</v>
      </c>
      <c r="F23" s="67" t="s">
        <v>79</v>
      </c>
      <c r="G23" s="69" t="s">
        <v>68</v>
      </c>
      <c r="H23" s="43">
        <f>J23/I23</f>
        <v>0.35277777777777775</v>
      </c>
      <c r="I23" s="39">
        <v>18</v>
      </c>
      <c r="J23" s="48">
        <v>6.35</v>
      </c>
      <c r="K23" s="70" t="s">
        <v>80</v>
      </c>
      <c r="L23" s="39" t="s">
        <v>74</v>
      </c>
      <c r="M23" s="129">
        <v>675</v>
      </c>
      <c r="N23" s="46">
        <f>M23*J23</f>
        <v>4286.25</v>
      </c>
      <c r="O23" s="71"/>
      <c r="P23" s="48"/>
      <c r="Q23" s="90"/>
      <c r="R23" s="74"/>
      <c r="S23" s="74"/>
      <c r="T23" s="71"/>
      <c r="U23" s="137"/>
    </row>
    <row r="24" spans="1:21" ht="16.2" customHeight="1" x14ac:dyDescent="0.3">
      <c r="A24" s="75"/>
      <c r="B24" s="17"/>
      <c r="C24" s="8"/>
      <c r="D24" s="27"/>
      <c r="E24" s="148"/>
      <c r="F24" s="18" t="s">
        <v>22</v>
      </c>
      <c r="G24" s="19" t="s">
        <v>81</v>
      </c>
      <c r="H24" s="10">
        <f>J24/I24</f>
        <v>0.71</v>
      </c>
      <c r="I24" s="7">
        <v>7</v>
      </c>
      <c r="J24" s="15">
        <v>4.97</v>
      </c>
      <c r="K24" s="20" t="s">
        <v>18</v>
      </c>
      <c r="L24" s="7" t="s">
        <v>84</v>
      </c>
      <c r="M24" s="130">
        <v>875</v>
      </c>
      <c r="N24" s="13">
        <f>M24*J24</f>
        <v>4348.75</v>
      </c>
      <c r="O24" s="21"/>
      <c r="P24" s="15"/>
      <c r="Q24" s="26"/>
      <c r="R24" s="24"/>
      <c r="S24" s="24"/>
      <c r="T24" s="21"/>
      <c r="U24" s="138"/>
    </row>
    <row r="25" spans="1:21" ht="16.2" customHeight="1" x14ac:dyDescent="0.3">
      <c r="A25" s="75"/>
      <c r="B25" s="17"/>
      <c r="C25" s="8"/>
      <c r="D25" s="27"/>
      <c r="E25" s="148"/>
      <c r="F25" s="18" t="s">
        <v>22</v>
      </c>
      <c r="G25" s="19" t="s">
        <v>82</v>
      </c>
      <c r="H25" s="10">
        <f>J25/I25</f>
        <v>0.61</v>
      </c>
      <c r="I25" s="7">
        <v>2</v>
      </c>
      <c r="J25" s="15">
        <v>1.22</v>
      </c>
      <c r="K25" s="20" t="s">
        <v>18</v>
      </c>
      <c r="L25" s="7" t="s">
        <v>85</v>
      </c>
      <c r="M25" s="130">
        <v>725</v>
      </c>
      <c r="N25" s="13">
        <f>M25*J25</f>
        <v>884.5</v>
      </c>
      <c r="O25" s="21"/>
      <c r="P25" s="15"/>
      <c r="Q25" s="26"/>
      <c r="R25" s="24"/>
      <c r="S25" s="24"/>
      <c r="T25" s="21"/>
      <c r="U25" s="138"/>
    </row>
    <row r="26" spans="1:21" ht="16.2" customHeight="1" x14ac:dyDescent="0.3">
      <c r="A26" s="76"/>
      <c r="B26" s="121"/>
      <c r="C26" s="53" t="s">
        <v>83</v>
      </c>
      <c r="D26" s="122"/>
      <c r="E26" s="149"/>
      <c r="F26" s="80" t="s">
        <v>22</v>
      </c>
      <c r="G26" s="81" t="s">
        <v>68</v>
      </c>
      <c r="H26" s="56">
        <f>J26/I26</f>
        <v>0.37444444444444447</v>
      </c>
      <c r="I26" s="77">
        <v>9</v>
      </c>
      <c r="J26" s="59">
        <v>3.37</v>
      </c>
      <c r="K26" s="82" t="s">
        <v>18</v>
      </c>
      <c r="L26" s="77" t="s">
        <v>49</v>
      </c>
      <c r="M26" s="131">
        <v>575</v>
      </c>
      <c r="N26" s="57">
        <f>M26*J26</f>
        <v>1937.75</v>
      </c>
      <c r="O26" s="58">
        <v>125</v>
      </c>
      <c r="P26" s="59">
        <v>15.31</v>
      </c>
      <c r="Q26" s="91">
        <v>12.128</v>
      </c>
      <c r="R26" s="57">
        <f>Q26*O26</f>
        <v>1516</v>
      </c>
      <c r="S26" s="123">
        <v>225</v>
      </c>
      <c r="T26" s="85">
        <f>19.5*15.91</f>
        <v>310.245</v>
      </c>
      <c r="U26" s="139">
        <f>T26+S26+R26+N23+N24+N25+N26</f>
        <v>13508.494999999999</v>
      </c>
    </row>
    <row r="27" spans="1:21" ht="16.2" customHeight="1" x14ac:dyDescent="0.3">
      <c r="A27" s="86"/>
      <c r="B27" s="87"/>
      <c r="C27" s="88"/>
      <c r="D27" s="87"/>
      <c r="E27" s="151"/>
      <c r="F27" s="88"/>
      <c r="G27" s="88"/>
      <c r="H27" s="87"/>
      <c r="I27" s="87"/>
      <c r="J27" s="87"/>
      <c r="K27" s="89"/>
      <c r="L27" s="87"/>
      <c r="M27" s="133"/>
      <c r="N27" s="87"/>
      <c r="O27" s="87"/>
      <c r="P27" s="87"/>
      <c r="Q27" s="87"/>
      <c r="R27" s="87"/>
      <c r="S27" s="87"/>
      <c r="T27" s="87"/>
      <c r="U27" s="141"/>
    </row>
    <row r="28" spans="1:21" ht="16.2" customHeight="1" x14ac:dyDescent="0.3">
      <c r="A28" s="65">
        <v>8</v>
      </c>
      <c r="B28" s="39" t="s">
        <v>2</v>
      </c>
      <c r="C28" s="67" t="s">
        <v>86</v>
      </c>
      <c r="D28" s="41" t="s">
        <v>14</v>
      </c>
      <c r="E28" s="147" t="s">
        <v>87</v>
      </c>
      <c r="F28" s="67" t="s">
        <v>27</v>
      </c>
      <c r="G28" s="69" t="s">
        <v>88</v>
      </c>
      <c r="H28" s="43">
        <f>J28/I28</f>
        <v>0.9</v>
      </c>
      <c r="I28" s="39">
        <v>1</v>
      </c>
      <c r="J28" s="48">
        <v>0.9</v>
      </c>
      <c r="K28" s="70" t="s">
        <v>28</v>
      </c>
      <c r="L28" s="39" t="s">
        <v>93</v>
      </c>
      <c r="M28" s="129">
        <v>1250</v>
      </c>
      <c r="N28" s="46">
        <f>M28*J28</f>
        <v>1125</v>
      </c>
      <c r="O28" s="71"/>
      <c r="P28" s="72"/>
      <c r="Q28" s="73"/>
      <c r="R28" s="74"/>
      <c r="S28" s="74"/>
      <c r="T28" s="71"/>
      <c r="U28" s="137"/>
    </row>
    <row r="29" spans="1:21" ht="16.2" customHeight="1" x14ac:dyDescent="0.3">
      <c r="A29" s="75"/>
      <c r="B29" s="7"/>
      <c r="C29" s="18"/>
      <c r="D29" s="25"/>
      <c r="E29" s="148"/>
      <c r="F29" s="18" t="s">
        <v>27</v>
      </c>
      <c r="G29" s="19" t="s">
        <v>70</v>
      </c>
      <c r="H29" s="10">
        <f>J29/I29</f>
        <v>0.55833333333333335</v>
      </c>
      <c r="I29" s="7">
        <v>6</v>
      </c>
      <c r="J29" s="15">
        <v>3.35</v>
      </c>
      <c r="K29" s="20"/>
      <c r="L29" s="7" t="s">
        <v>85</v>
      </c>
      <c r="M29" s="130">
        <v>775</v>
      </c>
      <c r="N29" s="13">
        <f>M29*J29</f>
        <v>2596.25</v>
      </c>
      <c r="O29" s="21"/>
      <c r="P29" s="22"/>
      <c r="Q29" s="23"/>
      <c r="R29" s="24"/>
      <c r="S29" s="24"/>
      <c r="T29" s="21"/>
      <c r="U29" s="138"/>
    </row>
    <row r="30" spans="1:21" ht="16.2" customHeight="1" x14ac:dyDescent="0.3">
      <c r="A30" s="75"/>
      <c r="B30" s="7"/>
      <c r="C30" s="18"/>
      <c r="D30" s="25"/>
      <c r="E30" s="148"/>
      <c r="F30" s="18" t="s">
        <v>27</v>
      </c>
      <c r="G30" s="19" t="s">
        <v>89</v>
      </c>
      <c r="H30" s="10">
        <f>J30/I30</f>
        <v>3.5156250000000001E-3</v>
      </c>
      <c r="I30" s="7">
        <v>128</v>
      </c>
      <c r="J30" s="15">
        <v>0.45</v>
      </c>
      <c r="K30" s="20" t="s">
        <v>90</v>
      </c>
      <c r="L30" s="7" t="s">
        <v>94</v>
      </c>
      <c r="M30" s="130">
        <v>450</v>
      </c>
      <c r="N30" s="13">
        <f>M30*J30</f>
        <v>202.5</v>
      </c>
      <c r="O30" s="21"/>
      <c r="P30" s="22"/>
      <c r="Q30" s="23"/>
      <c r="R30" s="24"/>
      <c r="S30" s="24"/>
      <c r="T30" s="21"/>
      <c r="U30" s="138"/>
    </row>
    <row r="31" spans="1:21" ht="16.2" customHeight="1" x14ac:dyDescent="0.3">
      <c r="A31" s="76"/>
      <c r="B31" s="77"/>
      <c r="C31" s="78" t="s">
        <v>91</v>
      </c>
      <c r="D31" s="79"/>
      <c r="E31" s="149"/>
      <c r="F31" s="80" t="s">
        <v>92</v>
      </c>
      <c r="G31" s="81" t="s">
        <v>53</v>
      </c>
      <c r="H31" s="56">
        <f>J31/I31</f>
        <v>0.19451612903225807</v>
      </c>
      <c r="I31" s="77">
        <v>31</v>
      </c>
      <c r="J31" s="59">
        <v>6.03</v>
      </c>
      <c r="K31" s="82" t="s">
        <v>56</v>
      </c>
      <c r="L31" s="77" t="s">
        <v>95</v>
      </c>
      <c r="M31" s="131">
        <v>715</v>
      </c>
      <c r="N31" s="57">
        <f>M31*J31</f>
        <v>4311.45</v>
      </c>
      <c r="O31" s="58">
        <v>125</v>
      </c>
      <c r="P31" s="83">
        <v>14.42</v>
      </c>
      <c r="Q31" s="84">
        <v>12.273999999999999</v>
      </c>
      <c r="R31" s="57">
        <f>Q31*O31</f>
        <v>1534.25</v>
      </c>
      <c r="S31" s="123">
        <v>275</v>
      </c>
      <c r="T31" s="85">
        <f>19.5*10.73</f>
        <v>209.23500000000001</v>
      </c>
      <c r="U31" s="139">
        <f>T31+S31+R31+N28+N29+N30+N31</f>
        <v>10253.685000000001</v>
      </c>
    </row>
    <row r="32" spans="1:21" ht="16.2" customHeight="1" x14ac:dyDescent="0.3">
      <c r="A32" s="61"/>
      <c r="B32" s="62"/>
      <c r="C32" s="63"/>
      <c r="D32" s="62"/>
      <c r="E32" s="150"/>
      <c r="F32" s="63"/>
      <c r="G32" s="63"/>
      <c r="H32" s="62"/>
      <c r="I32" s="62"/>
      <c r="J32" s="62"/>
      <c r="K32" s="64"/>
      <c r="L32" s="62"/>
      <c r="M32" s="132"/>
      <c r="N32" s="62"/>
      <c r="O32" s="62"/>
      <c r="P32" s="62"/>
      <c r="Q32" s="62"/>
      <c r="R32" s="62"/>
      <c r="S32" s="62"/>
      <c r="T32" s="62"/>
      <c r="U32" s="140"/>
    </row>
    <row r="33" spans="1:21" ht="16.2" customHeight="1" x14ac:dyDescent="0.3">
      <c r="A33" s="105">
        <v>9</v>
      </c>
      <c r="B33" s="128" t="s">
        <v>96</v>
      </c>
      <c r="C33" s="109" t="s">
        <v>97</v>
      </c>
      <c r="D33" s="108" t="s">
        <v>14</v>
      </c>
      <c r="E33" s="153" t="s">
        <v>98</v>
      </c>
      <c r="F33" s="107" t="s">
        <v>99</v>
      </c>
      <c r="G33" s="110" t="s">
        <v>100</v>
      </c>
      <c r="H33" s="111">
        <f>J33/I33</f>
        <v>0.15810344827586206</v>
      </c>
      <c r="I33" s="106">
        <v>58</v>
      </c>
      <c r="J33" s="112">
        <v>9.17</v>
      </c>
      <c r="K33" s="113" t="s">
        <v>20</v>
      </c>
      <c r="L33" s="106" t="s">
        <v>45</v>
      </c>
      <c r="M33" s="135">
        <v>615</v>
      </c>
      <c r="N33" s="114">
        <f>M33*J33</f>
        <v>5639.55</v>
      </c>
      <c r="O33" s="115">
        <v>125</v>
      </c>
      <c r="P33" s="116">
        <v>17.27</v>
      </c>
      <c r="Q33" s="117">
        <v>15.436</v>
      </c>
      <c r="R33" s="114">
        <f>Q33*O33</f>
        <v>1929.5</v>
      </c>
      <c r="S33" s="120">
        <v>250</v>
      </c>
      <c r="T33" s="118">
        <f>19.5*J33</f>
        <v>178.815</v>
      </c>
      <c r="U33" s="144">
        <f>T33+S33+R33+N33</f>
        <v>7997.8649999999998</v>
      </c>
    </row>
    <row r="34" spans="1:21" s="4" customFormat="1" ht="16.2" customHeight="1" x14ac:dyDescent="0.3">
      <c r="A34" s="92">
        <f>SUBTOTAL(103,Table1[Sr])</f>
        <v>9</v>
      </c>
      <c r="B34" s="93"/>
      <c r="C34" s="93"/>
      <c r="D34" s="124"/>
      <c r="E34" s="152"/>
      <c r="F34" s="93"/>
      <c r="G34" s="93"/>
      <c r="H34" s="125"/>
      <c r="I34" s="93">
        <f>SUBTOTAL(109,Table1[No.Pcs])</f>
        <v>502</v>
      </c>
      <c r="J34" s="98">
        <f>SUBTOTAL(109,Table1[Diam Cts])</f>
        <v>77.67</v>
      </c>
      <c r="K34" s="93"/>
      <c r="L34" s="93"/>
      <c r="M34" s="136"/>
      <c r="N34" s="100">
        <f>SUBTOTAL(109,Table1[Diam Total])</f>
        <v>55142.3</v>
      </c>
      <c r="O34" s="126"/>
      <c r="P34" s="102">
        <f>SUBTOTAL(109,Table1[Gross Gm])</f>
        <v>102.09</v>
      </c>
      <c r="Q34" s="103">
        <f>SUBTOTAL(109,Table1[Net Gm])</f>
        <v>86.575999999999993</v>
      </c>
      <c r="R34" s="127">
        <f>SUBTOTAL(109,Table1[Gold Total])</f>
        <v>10822</v>
      </c>
      <c r="S34" s="104">
        <f>SUBTOTAL(109,Table1[Labour])</f>
        <v>2020</v>
      </c>
      <c r="T34" s="101">
        <f>SUBTOTAL(109,Table1[Cert Exp])</f>
        <v>1456.7850000000003</v>
      </c>
      <c r="U34" s="142">
        <f>SUBTOTAL(109,Table1[Total Amt])</f>
        <v>69441.085000000006</v>
      </c>
    </row>
    <row r="35" spans="1:21" ht="16.2" customHeight="1" x14ac:dyDescent="0.3">
      <c r="A35" s="2"/>
      <c r="B35" s="2"/>
      <c r="C35" s="3"/>
      <c r="D35" s="2"/>
      <c r="E35" s="3"/>
      <c r="F35" s="3"/>
      <c r="G35" s="2"/>
      <c r="H35" s="2"/>
      <c r="I35" s="2"/>
      <c r="J35" s="2"/>
      <c r="K35" s="2"/>
      <c r="L35" s="2"/>
      <c r="M35" s="2"/>
      <c r="N35" s="5">
        <v>1</v>
      </c>
      <c r="O35" s="5"/>
      <c r="P35" s="5"/>
      <c r="Q35" s="5"/>
      <c r="R35" s="5">
        <v>2</v>
      </c>
      <c r="S35" s="5">
        <v>3</v>
      </c>
      <c r="T35" s="5">
        <v>4</v>
      </c>
      <c r="U35" s="5" t="s">
        <v>101</v>
      </c>
    </row>
    <row r="36" spans="1:21" ht="16.2" customHeight="1" x14ac:dyDescent="0.3">
      <c r="A36" s="146" t="s">
        <v>104</v>
      </c>
      <c r="B36" s="146"/>
      <c r="C36" s="146"/>
      <c r="D36" s="146"/>
      <c r="E36" s="146"/>
    </row>
  </sheetData>
  <mergeCells count="3">
    <mergeCell ref="A1:U1"/>
    <mergeCell ref="A2:U2"/>
    <mergeCell ref="A36:E36"/>
  </mergeCells>
  <hyperlinks>
    <hyperlink ref="D4" r:id="rId1" xr:uid="{3D1FE3F2-F112-41AC-979F-0A3F6B590AA5}"/>
    <hyperlink ref="D8" r:id="rId2" xr:uid="{CD5C27BC-0B8A-4025-8552-5863E9A4ECB0}"/>
    <hyperlink ref="D12" r:id="rId3" xr:uid="{833C7E67-BED0-47DD-947F-63533EA6EC29}"/>
    <hyperlink ref="D15" r:id="rId4" xr:uid="{88AA3DCB-CD6C-4E06-B850-16BCCA94F628}"/>
    <hyperlink ref="D17" r:id="rId5" xr:uid="{EB48F9DF-D19D-4D29-AFA8-8D3E4BA8A370}"/>
    <hyperlink ref="D19" r:id="rId6" xr:uid="{C7742BBE-3583-4E13-B6C9-3049BCCAB583}"/>
    <hyperlink ref="D23" r:id="rId7" xr:uid="{B02945FD-C7FA-4967-B8D8-DB932505EC35}"/>
    <hyperlink ref="D33" r:id="rId8" xr:uid="{3A65E378-2555-4050-A17F-140E5E3D06BC}"/>
  </hyperlinks>
  <pageMargins left="0.31496062992125984" right="0.31496062992125984" top="0.74803149606299213" bottom="0.74803149606299213" header="0.31496062992125984" footer="0.31496062992125984"/>
  <pageSetup paperSize="9" scale="73" orientation="landscape" r:id="rId9"/>
  <ignoredErrors>
    <ignoredError sqref="H4:H33 T6:T33" unlockedFormula="1"/>
    <ignoredError sqref="G25 G28" numberStoredAsText="1"/>
  </ignoredErrors>
  <drawing r:id="rId1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cp:lastPrinted>2026-02-11T12:02:11Z</cp:lastPrinted>
  <dcterms:created xsi:type="dcterms:W3CDTF">2026-02-11T10:24:58Z</dcterms:created>
  <dcterms:modified xsi:type="dcterms:W3CDTF">2026-02-11T12:02:47Z</dcterms:modified>
</cp:coreProperties>
</file>