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3\new data important\1.NEW DATA 10.10.2015\"/>
    </mc:Choice>
  </mc:AlternateContent>
  <xr:revisionPtr revIDLastSave="0" documentId="13_ncr:1_{96F3B06E-4B73-4BDE-A3FF-0AE754DBF32C}" xr6:coauthVersionLast="47" xr6:coauthVersionMax="47" xr10:uidLastSave="{00000000-0000-0000-0000-000000000000}"/>
  <bookViews>
    <workbookView xWindow="-108" yWindow="-108" windowWidth="23256" windowHeight="12456" activeTab="1" xr2:uid="{D1F4A1FB-4D46-4987-8D02-8936E2248A56}"/>
  </bookViews>
  <sheets>
    <sheet name="Orignal" sheetId="1" r:id="rId1"/>
    <sheet name="With Pictures" sheetId="2" r:id="rId2"/>
  </sheets>
  <definedNames>
    <definedName name="_xlnm.Print_Titles" localSheetId="0">Orignal!$2:$4</definedName>
    <definedName name="_xlnm.Print_Titles" localSheetId="1">'With Pictures'!$2:$4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5" i="2" l="1"/>
  <c r="R145" i="2"/>
  <c r="Q145" i="2"/>
  <c r="K145" i="2"/>
  <c r="J145" i="2"/>
  <c r="A145" i="2"/>
  <c r="S144" i="2"/>
  <c r="O144" i="2"/>
  <c r="I144" i="2"/>
  <c r="O143" i="2"/>
  <c r="I143" i="2"/>
  <c r="O142" i="2"/>
  <c r="I142" i="2"/>
  <c r="O141" i="2"/>
  <c r="I141" i="2"/>
  <c r="O140" i="2"/>
  <c r="I140" i="2"/>
  <c r="O139" i="2"/>
  <c r="I139" i="2"/>
  <c r="O138" i="2"/>
  <c r="I138" i="2"/>
  <c r="O137" i="2"/>
  <c r="I137" i="2"/>
  <c r="O136" i="2"/>
  <c r="I136" i="2"/>
  <c r="O135" i="2"/>
  <c r="I135" i="2"/>
  <c r="O134" i="2"/>
  <c r="I134" i="2"/>
  <c r="O133" i="2"/>
  <c r="I133" i="2"/>
  <c r="S131" i="2"/>
  <c r="O131" i="2"/>
  <c r="I131" i="2"/>
  <c r="O130" i="2"/>
  <c r="I130" i="2"/>
  <c r="O129" i="2"/>
  <c r="I129" i="2"/>
  <c r="O128" i="2"/>
  <c r="I128" i="2"/>
  <c r="O127" i="2"/>
  <c r="I127" i="2"/>
  <c r="O126" i="2"/>
  <c r="I126" i="2"/>
  <c r="O125" i="2"/>
  <c r="I125" i="2"/>
  <c r="O124" i="2"/>
  <c r="I124" i="2"/>
  <c r="O123" i="2"/>
  <c r="I123" i="2"/>
  <c r="O122" i="2"/>
  <c r="I122" i="2"/>
  <c r="U119" i="2"/>
  <c r="S119" i="2"/>
  <c r="O119" i="2"/>
  <c r="I119" i="2"/>
  <c r="U117" i="2"/>
  <c r="S117" i="2"/>
  <c r="O117" i="2"/>
  <c r="I117" i="2"/>
  <c r="O116" i="2"/>
  <c r="I116" i="2"/>
  <c r="O115" i="2"/>
  <c r="I115" i="2"/>
  <c r="O114" i="2"/>
  <c r="I114" i="2"/>
  <c r="O113" i="2"/>
  <c r="I113" i="2"/>
  <c r="O112" i="2"/>
  <c r="I112" i="2"/>
  <c r="U110" i="2"/>
  <c r="S110" i="2"/>
  <c r="O110" i="2"/>
  <c r="I110" i="2"/>
  <c r="O109" i="2"/>
  <c r="I109" i="2"/>
  <c r="O108" i="2"/>
  <c r="I108" i="2"/>
  <c r="O107" i="2"/>
  <c r="I107" i="2"/>
  <c r="O106" i="2"/>
  <c r="I106" i="2"/>
  <c r="O105" i="2"/>
  <c r="I105" i="2"/>
  <c r="O104" i="2"/>
  <c r="I104" i="2"/>
  <c r="O103" i="2"/>
  <c r="I103" i="2"/>
  <c r="U101" i="2"/>
  <c r="S101" i="2"/>
  <c r="O101" i="2"/>
  <c r="I101" i="2"/>
  <c r="O100" i="2"/>
  <c r="I100" i="2"/>
  <c r="O99" i="2"/>
  <c r="I99" i="2"/>
  <c r="O98" i="2"/>
  <c r="I98" i="2"/>
  <c r="O97" i="2"/>
  <c r="I97" i="2"/>
  <c r="O96" i="2"/>
  <c r="I96" i="2"/>
  <c r="O95" i="2"/>
  <c r="I95" i="2"/>
  <c r="O94" i="2"/>
  <c r="I94" i="2"/>
  <c r="U92" i="2"/>
  <c r="S92" i="2"/>
  <c r="O92" i="2"/>
  <c r="I92" i="2"/>
  <c r="O91" i="2"/>
  <c r="I91" i="2"/>
  <c r="O90" i="2"/>
  <c r="I90" i="2"/>
  <c r="O89" i="2"/>
  <c r="I89" i="2"/>
  <c r="O88" i="2"/>
  <c r="I88" i="2"/>
  <c r="O87" i="2"/>
  <c r="I87" i="2"/>
  <c r="O86" i="2"/>
  <c r="I86" i="2"/>
  <c r="U84" i="2"/>
  <c r="S84" i="2"/>
  <c r="O84" i="2"/>
  <c r="I84" i="2"/>
  <c r="O83" i="2"/>
  <c r="I83" i="2"/>
  <c r="O82" i="2"/>
  <c r="I82" i="2"/>
  <c r="O81" i="2"/>
  <c r="I81" i="2"/>
  <c r="O80" i="2"/>
  <c r="I80" i="2"/>
  <c r="U78" i="2"/>
  <c r="S78" i="2"/>
  <c r="O78" i="2"/>
  <c r="I78" i="2"/>
  <c r="O77" i="2"/>
  <c r="I77" i="2"/>
  <c r="U75" i="2"/>
  <c r="S75" i="2"/>
  <c r="O75" i="2"/>
  <c r="I75" i="2"/>
  <c r="O74" i="2"/>
  <c r="I74" i="2"/>
  <c r="U72" i="2"/>
  <c r="S72" i="2"/>
  <c r="O72" i="2"/>
  <c r="I72" i="2"/>
  <c r="O71" i="2"/>
  <c r="I71" i="2"/>
  <c r="U69" i="2"/>
  <c r="S69" i="2"/>
  <c r="O69" i="2"/>
  <c r="I69" i="2"/>
  <c r="U67" i="2"/>
  <c r="S67" i="2"/>
  <c r="O67" i="2"/>
  <c r="I67" i="2"/>
  <c r="O66" i="2"/>
  <c r="I66" i="2"/>
  <c r="O65" i="2"/>
  <c r="I65" i="2"/>
  <c r="O64" i="2"/>
  <c r="I64" i="2"/>
  <c r="U62" i="2"/>
  <c r="S62" i="2"/>
  <c r="O62" i="2"/>
  <c r="I62" i="2"/>
  <c r="O61" i="2"/>
  <c r="I61" i="2"/>
  <c r="U59" i="2"/>
  <c r="S59" i="2"/>
  <c r="O59" i="2"/>
  <c r="I59" i="2"/>
  <c r="O58" i="2"/>
  <c r="I58" i="2"/>
  <c r="U55" i="2"/>
  <c r="S55" i="2"/>
  <c r="O55" i="2"/>
  <c r="I55" i="2"/>
  <c r="U53" i="2"/>
  <c r="S53" i="2"/>
  <c r="O53" i="2"/>
  <c r="I53" i="2"/>
  <c r="O52" i="2"/>
  <c r="I52" i="2"/>
  <c r="U50" i="2"/>
  <c r="S50" i="2"/>
  <c r="O50" i="2"/>
  <c r="I50" i="2"/>
  <c r="O49" i="2"/>
  <c r="V50" i="2" s="1"/>
  <c r="I49" i="2"/>
  <c r="U47" i="2"/>
  <c r="S47" i="2"/>
  <c r="O47" i="2"/>
  <c r="I47" i="2"/>
  <c r="O46" i="2"/>
  <c r="I46" i="2"/>
  <c r="O45" i="2"/>
  <c r="I45" i="2"/>
  <c r="U43" i="2"/>
  <c r="S43" i="2"/>
  <c r="O43" i="2"/>
  <c r="I43" i="2"/>
  <c r="O42" i="2"/>
  <c r="I42" i="2"/>
  <c r="U40" i="2"/>
  <c r="S40" i="2"/>
  <c r="O40" i="2"/>
  <c r="I40" i="2"/>
  <c r="O39" i="2"/>
  <c r="I39" i="2"/>
  <c r="U37" i="2"/>
  <c r="S37" i="2"/>
  <c r="O37" i="2"/>
  <c r="I37" i="2"/>
  <c r="O36" i="2"/>
  <c r="I36" i="2"/>
  <c r="U34" i="2"/>
  <c r="S34" i="2"/>
  <c r="O34" i="2"/>
  <c r="I34" i="2"/>
  <c r="O33" i="2"/>
  <c r="V34" i="2" s="1"/>
  <c r="I33" i="2"/>
  <c r="U30" i="2"/>
  <c r="S30" i="2"/>
  <c r="O30" i="2"/>
  <c r="I30" i="2"/>
  <c r="U28" i="2"/>
  <c r="S28" i="2"/>
  <c r="O28" i="2"/>
  <c r="I28" i="2"/>
  <c r="O27" i="2"/>
  <c r="I27" i="2"/>
  <c r="U25" i="2"/>
  <c r="S25" i="2"/>
  <c r="O25" i="2"/>
  <c r="I25" i="2"/>
  <c r="O24" i="2"/>
  <c r="V25" i="2" s="1"/>
  <c r="I24" i="2"/>
  <c r="U22" i="2"/>
  <c r="S22" i="2"/>
  <c r="O22" i="2"/>
  <c r="I22" i="2"/>
  <c r="O21" i="2"/>
  <c r="I21" i="2"/>
  <c r="U19" i="2"/>
  <c r="S19" i="2"/>
  <c r="O19" i="2"/>
  <c r="I19" i="2"/>
  <c r="O18" i="2"/>
  <c r="I18" i="2"/>
  <c r="O17" i="2"/>
  <c r="I17" i="2"/>
  <c r="U15" i="2"/>
  <c r="S15" i="2"/>
  <c r="O15" i="2"/>
  <c r="I15" i="2"/>
  <c r="O14" i="2"/>
  <c r="I14" i="2"/>
  <c r="O13" i="2"/>
  <c r="I13" i="2"/>
  <c r="U11" i="2"/>
  <c r="S11" i="2"/>
  <c r="O11" i="2"/>
  <c r="I11" i="2"/>
  <c r="O10" i="2"/>
  <c r="I10" i="2"/>
  <c r="O9" i="2"/>
  <c r="I9" i="2"/>
  <c r="U7" i="2"/>
  <c r="S7" i="2"/>
  <c r="O7" i="2"/>
  <c r="I7" i="2"/>
  <c r="O6" i="2"/>
  <c r="I6" i="2"/>
  <c r="O5" i="2"/>
  <c r="I5" i="2"/>
  <c r="S145" i="2" l="1"/>
  <c r="V75" i="2"/>
  <c r="V59" i="2"/>
  <c r="U145" i="2"/>
  <c r="V22" i="2"/>
  <c r="V72" i="2"/>
  <c r="V119" i="2"/>
  <c r="V92" i="2"/>
  <c r="V19" i="2"/>
  <c r="O145" i="2"/>
  <c r="V11" i="2"/>
  <c r="V28" i="2"/>
  <c r="V37" i="2"/>
  <c r="V43" i="2"/>
  <c r="V53" i="2"/>
  <c r="V62" i="2"/>
  <c r="V78" i="2"/>
  <c r="V110" i="2"/>
  <c r="V144" i="2"/>
  <c r="V84" i="2"/>
  <c r="V117" i="2"/>
  <c r="V47" i="2"/>
  <c r="V67" i="2"/>
  <c r="V15" i="2"/>
  <c r="V30" i="2"/>
  <c r="V40" i="2"/>
  <c r="V55" i="2"/>
  <c r="V131" i="2"/>
  <c r="V69" i="2"/>
  <c r="V101" i="2"/>
  <c r="V7" i="2"/>
  <c r="U142" i="1"/>
  <c r="U129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29" i="1"/>
  <c r="N128" i="1"/>
  <c r="N127" i="1"/>
  <c r="N126" i="1"/>
  <c r="N125" i="1"/>
  <c r="N124" i="1"/>
  <c r="N123" i="1"/>
  <c r="N122" i="1"/>
  <c r="N121" i="1"/>
  <c r="N120" i="1"/>
  <c r="N117" i="1"/>
  <c r="U117" i="1"/>
  <c r="T117" i="1"/>
  <c r="R142" i="1"/>
  <c r="R129" i="1"/>
  <c r="R117" i="1"/>
  <c r="V145" i="2" l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29" i="1"/>
  <c r="H128" i="1"/>
  <c r="H127" i="1"/>
  <c r="H126" i="1"/>
  <c r="H125" i="1"/>
  <c r="H124" i="1"/>
  <c r="H123" i="1"/>
  <c r="H122" i="1"/>
  <c r="H121" i="1"/>
  <c r="H120" i="1"/>
  <c r="H117" i="1"/>
  <c r="S143" i="1" l="1"/>
  <c r="Q143" i="1"/>
  <c r="P143" i="1"/>
  <c r="A143" i="1"/>
  <c r="J143" i="1"/>
  <c r="I143" i="1"/>
  <c r="T115" i="1"/>
  <c r="T108" i="1"/>
  <c r="T99" i="1"/>
  <c r="T90" i="1"/>
  <c r="T82" i="1"/>
  <c r="T76" i="1"/>
  <c r="T73" i="1"/>
  <c r="T70" i="1"/>
  <c r="T67" i="1"/>
  <c r="T65" i="1"/>
  <c r="T60" i="1"/>
  <c r="T57" i="1"/>
  <c r="T54" i="1"/>
  <c r="T52" i="1"/>
  <c r="T49" i="1"/>
  <c r="T46" i="1"/>
  <c r="T42" i="1"/>
  <c r="T39" i="1"/>
  <c r="T36" i="1"/>
  <c r="T33" i="1"/>
  <c r="T30" i="1"/>
  <c r="T28" i="1"/>
  <c r="T25" i="1"/>
  <c r="T22" i="1"/>
  <c r="T19" i="1"/>
  <c r="T15" i="1"/>
  <c r="T11" i="1"/>
  <c r="T7" i="1"/>
  <c r="R115" i="1"/>
  <c r="R108" i="1"/>
  <c r="R99" i="1"/>
  <c r="R90" i="1"/>
  <c r="R82" i="1"/>
  <c r="R76" i="1"/>
  <c r="R73" i="1"/>
  <c r="R70" i="1"/>
  <c r="R67" i="1"/>
  <c r="R65" i="1"/>
  <c r="R60" i="1"/>
  <c r="R57" i="1"/>
  <c r="R54" i="1"/>
  <c r="R52" i="1"/>
  <c r="R49" i="1"/>
  <c r="R46" i="1"/>
  <c r="R42" i="1"/>
  <c r="R39" i="1"/>
  <c r="R36" i="1"/>
  <c r="R33" i="1"/>
  <c r="R30" i="1"/>
  <c r="R28" i="1"/>
  <c r="R25" i="1"/>
  <c r="R22" i="1"/>
  <c r="R19" i="1"/>
  <c r="R15" i="1"/>
  <c r="R11" i="1"/>
  <c r="R7" i="1"/>
  <c r="T143" i="1" l="1"/>
  <c r="R143" i="1"/>
  <c r="N115" i="1"/>
  <c r="N114" i="1"/>
  <c r="N113" i="1"/>
  <c r="N112" i="1"/>
  <c r="N111" i="1"/>
  <c r="N110" i="1"/>
  <c r="N108" i="1"/>
  <c r="N107" i="1"/>
  <c r="N106" i="1"/>
  <c r="N105" i="1"/>
  <c r="N104" i="1"/>
  <c r="N103" i="1"/>
  <c r="N102" i="1"/>
  <c r="N101" i="1"/>
  <c r="N99" i="1"/>
  <c r="N98" i="1"/>
  <c r="N97" i="1"/>
  <c r="N96" i="1"/>
  <c r="N95" i="1"/>
  <c r="N94" i="1"/>
  <c r="N93" i="1"/>
  <c r="N92" i="1"/>
  <c r="N90" i="1"/>
  <c r="N89" i="1"/>
  <c r="N88" i="1"/>
  <c r="N87" i="1"/>
  <c r="N86" i="1"/>
  <c r="N85" i="1"/>
  <c r="N84" i="1"/>
  <c r="N82" i="1"/>
  <c r="N81" i="1"/>
  <c r="N80" i="1"/>
  <c r="N79" i="1"/>
  <c r="N78" i="1"/>
  <c r="N76" i="1"/>
  <c r="N75" i="1"/>
  <c r="U76" i="1" s="1"/>
  <c r="N73" i="1"/>
  <c r="N72" i="1"/>
  <c r="U73" i="1" s="1"/>
  <c r="N70" i="1"/>
  <c r="N69" i="1"/>
  <c r="N67" i="1"/>
  <c r="U67" i="1" s="1"/>
  <c r="N65" i="1"/>
  <c r="N64" i="1"/>
  <c r="N63" i="1"/>
  <c r="N62" i="1"/>
  <c r="U65" i="1" s="1"/>
  <c r="N60" i="1"/>
  <c r="N59" i="1"/>
  <c r="N57" i="1"/>
  <c r="N56" i="1"/>
  <c r="N54" i="1"/>
  <c r="U54" i="1" s="1"/>
  <c r="N52" i="1"/>
  <c r="N51" i="1"/>
  <c r="U52" i="1" s="1"/>
  <c r="N49" i="1"/>
  <c r="N48" i="1"/>
  <c r="U49" i="1" s="1"/>
  <c r="N46" i="1"/>
  <c r="N45" i="1"/>
  <c r="N44" i="1"/>
  <c r="N42" i="1"/>
  <c r="N41" i="1"/>
  <c r="N39" i="1"/>
  <c r="N38" i="1"/>
  <c r="U39" i="1" s="1"/>
  <c r="N36" i="1"/>
  <c r="N35" i="1"/>
  <c r="N33" i="1"/>
  <c r="N32" i="1"/>
  <c r="U33" i="1" s="1"/>
  <c r="N30" i="1"/>
  <c r="U30" i="1" s="1"/>
  <c r="N28" i="1"/>
  <c r="N27" i="1"/>
  <c r="U28" i="1" s="1"/>
  <c r="N25" i="1"/>
  <c r="N24" i="1"/>
  <c r="U25" i="1" s="1"/>
  <c r="N22" i="1"/>
  <c r="N21" i="1"/>
  <c r="N19" i="1"/>
  <c r="N18" i="1"/>
  <c r="N17" i="1"/>
  <c r="N15" i="1"/>
  <c r="N14" i="1"/>
  <c r="N13" i="1"/>
  <c r="U15" i="1" s="1"/>
  <c r="N11" i="1"/>
  <c r="N10" i="1"/>
  <c r="N9" i="1"/>
  <c r="U11" i="1" s="1"/>
  <c r="N7" i="1"/>
  <c r="N6" i="1"/>
  <c r="N5" i="1"/>
  <c r="U46" i="1" l="1"/>
  <c r="U22" i="1"/>
  <c r="U57" i="1"/>
  <c r="U42" i="1"/>
  <c r="U70" i="1"/>
  <c r="U36" i="1"/>
  <c r="U60" i="1"/>
  <c r="U19" i="1"/>
  <c r="U115" i="1"/>
  <c r="U90" i="1"/>
  <c r="U7" i="1"/>
  <c r="U82" i="1"/>
  <c r="U99" i="1"/>
  <c r="U108" i="1"/>
  <c r="N143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99" i="1"/>
  <c r="H98" i="1"/>
  <c r="H97" i="1"/>
  <c r="H96" i="1"/>
  <c r="H95" i="1"/>
  <c r="H94" i="1"/>
  <c r="H93" i="1"/>
  <c r="H92" i="1"/>
  <c r="H90" i="1"/>
  <c r="H89" i="1"/>
  <c r="H88" i="1"/>
  <c r="H87" i="1"/>
  <c r="H86" i="1"/>
  <c r="H85" i="1"/>
  <c r="H84" i="1"/>
  <c r="H82" i="1"/>
  <c r="H81" i="1"/>
  <c r="H80" i="1"/>
  <c r="H79" i="1"/>
  <c r="H78" i="1"/>
  <c r="H76" i="1"/>
  <c r="H75" i="1"/>
  <c r="H73" i="1"/>
  <c r="H72" i="1"/>
  <c r="H70" i="1"/>
  <c r="H69" i="1"/>
  <c r="H67" i="1"/>
  <c r="H65" i="1"/>
  <c r="H64" i="1"/>
  <c r="H63" i="1"/>
  <c r="H62" i="1"/>
  <c r="H60" i="1"/>
  <c r="H59" i="1"/>
  <c r="H57" i="1"/>
  <c r="H56" i="1"/>
  <c r="H54" i="1"/>
  <c r="H52" i="1"/>
  <c r="H51" i="1"/>
  <c r="H49" i="1"/>
  <c r="H48" i="1"/>
  <c r="H46" i="1"/>
  <c r="H45" i="1"/>
  <c r="H44" i="1"/>
  <c r="H42" i="1"/>
  <c r="H41" i="1"/>
  <c r="H39" i="1"/>
  <c r="H38" i="1"/>
  <c r="H36" i="1"/>
  <c r="H35" i="1"/>
  <c r="H33" i="1"/>
  <c r="H32" i="1"/>
  <c r="H30" i="1"/>
  <c r="H28" i="1"/>
  <c r="H27" i="1"/>
  <c r="H25" i="1"/>
  <c r="H24" i="1"/>
  <c r="H22" i="1"/>
  <c r="H21" i="1"/>
  <c r="H19" i="1"/>
  <c r="H18" i="1"/>
  <c r="H17" i="1"/>
  <c r="H15" i="1"/>
  <c r="H14" i="1"/>
  <c r="H13" i="1"/>
  <c r="H11" i="1"/>
  <c r="H10" i="1"/>
  <c r="H9" i="1"/>
  <c r="H7" i="1"/>
  <c r="H6" i="1"/>
  <c r="H5" i="1"/>
  <c r="U1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Viraj-Antonia</author>
    <author>Antonia Star-Viraj Shah</author>
  </authors>
  <commentList>
    <comment ref="F13" authorId="0" shapeId="0" xr:uid="{95FC5B41-3904-4EB1-99D9-2FB88B99670F}">
      <text>
        <r>
          <rPr>
            <b/>
            <sz val="9"/>
            <color indexed="81"/>
            <rFont val="Tahoma"/>
            <family val="2"/>
          </rPr>
          <t>Viraj-Antonia:</t>
        </r>
        <r>
          <rPr>
            <sz val="9"/>
            <color indexed="81"/>
            <rFont val="Tahoma"/>
            <family val="2"/>
          </rPr>
          <t xml:space="preserve">
628456485 F SI1 IGI</t>
        </r>
      </text>
    </comment>
    <comment ref="F92" authorId="1" shapeId="0" xr:uid="{0E7540CF-38C2-4C71-8CC8-2A862A8E15D6}">
      <text>
        <r>
          <rPr>
            <b/>
            <sz val="9"/>
            <color indexed="81"/>
            <rFont val="Tahoma"/>
            <family val="2"/>
          </rPr>
          <t>Antonia Star-Viraj Shah:</t>
        </r>
        <r>
          <rPr>
            <sz val="9"/>
            <color indexed="81"/>
            <rFont val="Tahoma"/>
            <family val="2"/>
          </rPr>
          <t xml:space="preserve">
250000019056 D SI1 Hrd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Viraj-Antonia</author>
    <author>Antonia Star-Viraj Shah</author>
  </authors>
  <commentList>
    <comment ref="G13" authorId="0" shapeId="0" xr:uid="{B14F5E99-2FFD-4A52-998C-2E46A1A10A53}">
      <text>
        <r>
          <rPr>
            <b/>
            <sz val="9"/>
            <color indexed="81"/>
            <rFont val="Tahoma"/>
            <family val="2"/>
          </rPr>
          <t>Viraj-Antonia:</t>
        </r>
        <r>
          <rPr>
            <sz val="9"/>
            <color indexed="81"/>
            <rFont val="Tahoma"/>
            <family val="2"/>
          </rPr>
          <t xml:space="preserve">
628456485 F SI1 IGI</t>
        </r>
      </text>
    </comment>
    <comment ref="G94" authorId="1" shapeId="0" xr:uid="{B260B3C5-69CE-4D73-B0AA-0FC46F018A46}">
      <text>
        <r>
          <rPr>
            <b/>
            <sz val="9"/>
            <color indexed="81"/>
            <rFont val="Tahoma"/>
            <family val="2"/>
          </rPr>
          <t>Antonia Star-Viraj Shah:</t>
        </r>
        <r>
          <rPr>
            <sz val="9"/>
            <color indexed="81"/>
            <rFont val="Tahoma"/>
            <family val="2"/>
          </rPr>
          <t xml:space="preserve">
250000019056 D SI1 Hrd
</t>
        </r>
      </text>
    </comment>
  </commentList>
</comments>
</file>

<file path=xl/sharedStrings.xml><?xml version="1.0" encoding="utf-8"?>
<sst xmlns="http://schemas.openxmlformats.org/spreadsheetml/2006/main" count="1166" uniqueCount="222">
  <si>
    <t>Sr</t>
  </si>
  <si>
    <t>Length</t>
  </si>
  <si>
    <t>17.5cm</t>
  </si>
  <si>
    <t>18.0cm</t>
  </si>
  <si>
    <t>ITEM</t>
  </si>
  <si>
    <t>LAB</t>
  </si>
  <si>
    <t>Cert Number</t>
  </si>
  <si>
    <t>Parcel Id</t>
  </si>
  <si>
    <t>Size2</t>
  </si>
  <si>
    <t>Avg Pts</t>
  </si>
  <si>
    <t>No.Pcs</t>
  </si>
  <si>
    <t>Diam Cts</t>
  </si>
  <si>
    <t>Col - Clarity</t>
  </si>
  <si>
    <t>Princess-Round Braclet</t>
  </si>
  <si>
    <t>HRD</t>
  </si>
  <si>
    <t>J250000112866</t>
  </si>
  <si>
    <t>Princess</t>
  </si>
  <si>
    <t>1ct</t>
  </si>
  <si>
    <t>GH SI</t>
  </si>
  <si>
    <t>1/10</t>
  </si>
  <si>
    <t>EF VS</t>
  </si>
  <si>
    <t>Cts : 3.34/Pcs :44</t>
  </si>
  <si>
    <t>Rounds</t>
  </si>
  <si>
    <t>+7.50-8</t>
  </si>
  <si>
    <t>FG VS-SI</t>
  </si>
  <si>
    <t>Round-Marquise Brc</t>
  </si>
  <si>
    <t>J250000130902</t>
  </si>
  <si>
    <t>Round</t>
  </si>
  <si>
    <t>FG SI</t>
  </si>
  <si>
    <t>+9-10</t>
  </si>
  <si>
    <t>GH VS</t>
  </si>
  <si>
    <t>Cts : 4.51/Pcs: 42</t>
  </si>
  <si>
    <t>Marquise</t>
  </si>
  <si>
    <t>FG VS</t>
  </si>
  <si>
    <t>LOT</t>
  </si>
  <si>
    <t>CQCZ</t>
  </si>
  <si>
    <t>CCZZ</t>
  </si>
  <si>
    <t>Per/ct2</t>
  </si>
  <si>
    <t>Diam Total</t>
  </si>
  <si>
    <t>Gold/gm</t>
  </si>
  <si>
    <t>Gross Gm</t>
  </si>
  <si>
    <t>Net Gm</t>
  </si>
  <si>
    <t>Gold Total</t>
  </si>
  <si>
    <t>Labour</t>
  </si>
  <si>
    <t>Cert Exp</t>
  </si>
  <si>
    <t>Total Amt</t>
  </si>
  <si>
    <t>Hm-17.5cm</t>
  </si>
  <si>
    <t>Round-Princess Braclet</t>
  </si>
  <si>
    <t>J250000130901</t>
  </si>
  <si>
    <t>Cts : 4.74/Pcs : 56</t>
  </si>
  <si>
    <t>Round Braclet</t>
  </si>
  <si>
    <t>J250000112868</t>
  </si>
  <si>
    <t>EF SI</t>
  </si>
  <si>
    <t>+13-13.50</t>
  </si>
  <si>
    <t>Cts : 5.02 /Pcs : 59</t>
  </si>
  <si>
    <t>+8-8.50</t>
  </si>
  <si>
    <t>EF VS-SI</t>
  </si>
  <si>
    <t>Round-Emerald Brc</t>
  </si>
  <si>
    <t>J250000122437</t>
  </si>
  <si>
    <t xml:space="preserve">GH SI </t>
  </si>
  <si>
    <t>Cts : 6.38/Pcs: 51</t>
  </si>
  <si>
    <t>Emerald</t>
  </si>
  <si>
    <t>EF VVS-VS</t>
  </si>
  <si>
    <t>19.0cm</t>
  </si>
  <si>
    <t>Princess-Emerald Brc</t>
  </si>
  <si>
    <t>J250000122464</t>
  </si>
  <si>
    <t>Cts : 6.21/Pcs : 51</t>
  </si>
  <si>
    <t>Emerald-Oval Braclet</t>
  </si>
  <si>
    <t>J250000085190</t>
  </si>
  <si>
    <t>1/4</t>
  </si>
  <si>
    <t>Cts :6.41/Pcs:44</t>
  </si>
  <si>
    <t>Ovals</t>
  </si>
  <si>
    <t>FG VVS-VS</t>
  </si>
  <si>
    <t>Emerald Braclet</t>
  </si>
  <si>
    <t>J250000040437</t>
  </si>
  <si>
    <t>1/6</t>
  </si>
  <si>
    <t>Emerald-Round Brc</t>
  </si>
  <si>
    <t>J250000122458</t>
  </si>
  <si>
    <t>1/5</t>
  </si>
  <si>
    <t>Cts : 6.72/Pcs: 54</t>
  </si>
  <si>
    <t>+11-12</t>
  </si>
  <si>
    <t>CCCZ</t>
  </si>
  <si>
    <t>CCCC</t>
  </si>
  <si>
    <t>Emerald-Princess Brc</t>
  </si>
  <si>
    <t>J250000122467</t>
  </si>
  <si>
    <t>Cts : 7.84/Pcs: 44</t>
  </si>
  <si>
    <t>J250000122468</t>
  </si>
  <si>
    <t>Cts : 7.19/Pcs: 48</t>
  </si>
  <si>
    <t>+11.50-12</t>
  </si>
  <si>
    <t>Emeralds-Princess Braclet</t>
  </si>
  <si>
    <t>J250000112880</t>
  </si>
  <si>
    <t>Cts : 8.50/Pcs: 49</t>
  </si>
  <si>
    <t>Princess-Emd-Mq Braclet</t>
  </si>
  <si>
    <t>J250000112854</t>
  </si>
  <si>
    <t>IJ SI</t>
  </si>
  <si>
    <t>Cts : 5.05/Pcs : 34</t>
  </si>
  <si>
    <t>Pears-Marquise Braclet</t>
  </si>
  <si>
    <t>J250000112860</t>
  </si>
  <si>
    <t>Pear</t>
  </si>
  <si>
    <t>Cts : 5.53/Pcs : 28</t>
  </si>
  <si>
    <t>Pears-Oval Braclet</t>
  </si>
  <si>
    <t>J250000085194</t>
  </si>
  <si>
    <t>Cts : 5.59/Pcs: 39</t>
  </si>
  <si>
    <t>CCSC</t>
  </si>
  <si>
    <t>17.7cm</t>
  </si>
  <si>
    <t>17.2cm</t>
  </si>
  <si>
    <t>18.2cm</t>
  </si>
  <si>
    <t>Pears Braclet</t>
  </si>
  <si>
    <t>J250000085189</t>
  </si>
  <si>
    <t>Pears</t>
  </si>
  <si>
    <t>Pears-Round Braclet</t>
  </si>
  <si>
    <t>J250000089669</t>
  </si>
  <si>
    <t>1/3</t>
  </si>
  <si>
    <t>Cts : 7.06/Pcs : 32</t>
  </si>
  <si>
    <t>Emerald-Heart Brc</t>
  </si>
  <si>
    <t>J250000122466</t>
  </si>
  <si>
    <t>Cts : 7.49/Pcs: 42</t>
  </si>
  <si>
    <t>Heart</t>
  </si>
  <si>
    <t>CSDC</t>
  </si>
  <si>
    <t>CXZZ</t>
  </si>
  <si>
    <t>Ps-Mq-Rd Braclet</t>
  </si>
  <si>
    <t>J250000122465</t>
  </si>
  <si>
    <t>70</t>
  </si>
  <si>
    <t>Cts : 7.95/Pcs: 32</t>
  </si>
  <si>
    <t>+11-11.50</t>
  </si>
  <si>
    <t>J250000081111</t>
  </si>
  <si>
    <t>CNCZ</t>
  </si>
  <si>
    <t>CSZZ</t>
  </si>
  <si>
    <t>17.8cm</t>
  </si>
  <si>
    <t>Fncy Cushion-Rd Brc</t>
  </si>
  <si>
    <t>J250000130900</t>
  </si>
  <si>
    <t>Cushion</t>
  </si>
  <si>
    <t>1.50ct</t>
  </si>
  <si>
    <t>FY SI</t>
  </si>
  <si>
    <t>Cts : 6.81/Pcs: 56</t>
  </si>
  <si>
    <t>+11-14</t>
  </si>
  <si>
    <t>J250000112861</t>
  </si>
  <si>
    <t>Cts : 9.25/Pcs: 59</t>
  </si>
  <si>
    <t>Emerald Brc (Frame)</t>
  </si>
  <si>
    <t>J250000084449</t>
  </si>
  <si>
    <t>Cts : 9.79/Pcs: 315</t>
  </si>
  <si>
    <t>+000-00</t>
  </si>
  <si>
    <t>(1+2+3+4)</t>
  </si>
  <si>
    <t>Rounds-Ps-Mq Necklace</t>
  </si>
  <si>
    <t>J260000066375</t>
  </si>
  <si>
    <t>90</t>
  </si>
  <si>
    <t>1/2</t>
  </si>
  <si>
    <t>Cts : 13.34 / Pcs : 62</t>
  </si>
  <si>
    <t>Mixed Fancy Shapes Necklace</t>
  </si>
  <si>
    <t>J260000066405</t>
  </si>
  <si>
    <t>Oval</t>
  </si>
  <si>
    <t>Cts : 14.11 / Pcs : 116</t>
  </si>
  <si>
    <t>Pears-Marquise-Rounds Necklace</t>
  </si>
  <si>
    <t>J260000049983</t>
  </si>
  <si>
    <t>3/4</t>
  </si>
  <si>
    <t>12inch Diam + 5 Inch Gold = 17 inch</t>
  </si>
  <si>
    <t>3/8</t>
  </si>
  <si>
    <t>Cts : 16.14 / Pcs : 59</t>
  </si>
  <si>
    <t>J260000071929</t>
  </si>
  <si>
    <t>60</t>
  </si>
  <si>
    <t>50</t>
  </si>
  <si>
    <t>Emeralds</t>
  </si>
  <si>
    <t>Cts : 22.28/ Pcs : 78</t>
  </si>
  <si>
    <t>Double Line Pears Necklace</t>
  </si>
  <si>
    <t>E SI1</t>
  </si>
  <si>
    <t>Cts : 25.53 / Pcs : 192</t>
  </si>
  <si>
    <t>E SI2</t>
  </si>
  <si>
    <t>CCSD</t>
  </si>
  <si>
    <t>J240000112221</t>
  </si>
  <si>
    <t>UZCZ</t>
  </si>
  <si>
    <t>QCZ</t>
  </si>
  <si>
    <t>DHZ</t>
  </si>
  <si>
    <t>UDSC</t>
  </si>
  <si>
    <t>TZZ</t>
  </si>
  <si>
    <t>CZZ</t>
  </si>
  <si>
    <t>TSC</t>
  </si>
  <si>
    <t>QDC</t>
  </si>
  <si>
    <t>XZZ</t>
  </si>
  <si>
    <t>CCZ</t>
  </si>
  <si>
    <t>QSC</t>
  </si>
  <si>
    <t>QUC</t>
  </si>
  <si>
    <t>CSC</t>
  </si>
  <si>
    <t>XDC</t>
  </si>
  <si>
    <t>CDC</t>
  </si>
  <si>
    <t>SZZ</t>
  </si>
  <si>
    <t>UZDC</t>
  </si>
  <si>
    <t>NCZ</t>
  </si>
  <si>
    <t>XCZ</t>
  </si>
  <si>
    <t>NZZ</t>
  </si>
  <si>
    <t>SCZ</t>
  </si>
  <si>
    <t>HZZ</t>
  </si>
  <si>
    <t>TCZ</t>
  </si>
  <si>
    <t>17inch</t>
  </si>
  <si>
    <t>Half Straight Necklace</t>
  </si>
  <si>
    <t>J240000105224</t>
  </si>
  <si>
    <t>EF VS SI</t>
  </si>
  <si>
    <t>Cts : 17.43 / Pcs : 55</t>
  </si>
  <si>
    <t>70% Graduation Necklace Rounds</t>
  </si>
  <si>
    <t>J250000119841</t>
  </si>
  <si>
    <t xml:space="preserve">EF VS-SI </t>
  </si>
  <si>
    <t>Cts : 11.71 / Pcs : 107</t>
  </si>
  <si>
    <t>12 inch Dia + 5 Inch Gold=17 Inch</t>
  </si>
  <si>
    <t>45-49</t>
  </si>
  <si>
    <t>CXCS</t>
  </si>
  <si>
    <t>+12-14</t>
  </si>
  <si>
    <t>+8-11</t>
  </si>
  <si>
    <t>+6.50-8</t>
  </si>
  <si>
    <t>Full Graduation Necklace</t>
  </si>
  <si>
    <t>J250000161743</t>
  </si>
  <si>
    <t>80</t>
  </si>
  <si>
    <t>Cts : 13.40/ Pcs : 147</t>
  </si>
  <si>
    <t>17 Inch</t>
  </si>
  <si>
    <t>+14</t>
  </si>
  <si>
    <t>HCZ</t>
  </si>
  <si>
    <t>Note : All Orignal Hrd Certificates are issued.</t>
  </si>
  <si>
    <t>18k Gold &amp; Natural Diamond Jewellery</t>
  </si>
  <si>
    <t>Items issues are on Consignment basis.</t>
  </si>
  <si>
    <t>Consignment Packing List of Jawhara Jewellery LLC # Memo No.0762 Dated 02 July 2026</t>
  </si>
  <si>
    <t>Consignment period From : 02 July 26 till 25 Aug 2026</t>
  </si>
  <si>
    <t>Image</t>
  </si>
  <si>
    <t>*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</si>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</sst>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&quot;$&quot;#,##0.00"/>
    <numFmt numFmtId="166" formatCode="[$$-1009]#,##0.00"/>
    <numFmt numFmtId="167" formatCode="#,##0.000"/>
  </numFmts>
  <fonts count="19" x14ac:knownFonts="1">
    <font>
      <sz val="11"/>
      <color theme="1"/>
      <name val="Calibri"/>
      <family val="2"/>
      <scheme val="minor"/>
    </font>
    <font>
      <b/>
      <sz val="9"/>
      <name val="Cambria"/>
      <family val="1"/>
    </font>
    <font>
      <b/>
      <sz val="9"/>
      <color theme="1" tint="4.9989318521683403E-2"/>
      <name val="Cambria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Cambria"/>
      <family val="1"/>
    </font>
    <font>
      <sz val="9"/>
      <name val="Cambria"/>
      <family val="1"/>
    </font>
    <font>
      <sz val="9"/>
      <color theme="1" tint="4.9989318521683403E-2"/>
      <name val="Cambria"/>
      <family val="1"/>
    </font>
    <font>
      <u/>
      <sz val="9"/>
      <color indexed="12"/>
      <name val="Cambria"/>
      <family val="1"/>
    </font>
    <font>
      <sz val="9"/>
      <color rgb="FF0070C0"/>
      <name val="Cambria"/>
      <family val="1"/>
    </font>
    <font>
      <sz val="9"/>
      <color rgb="FFFF0000"/>
      <name val="Cambria"/>
      <family val="1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9"/>
      <color rgb="FF00B050"/>
      <name val="Cambria"/>
      <family val="1"/>
    </font>
    <font>
      <b/>
      <sz val="9"/>
      <color rgb="FF00B050"/>
      <name val="Cambria"/>
      <family val="1"/>
    </font>
    <font>
      <b/>
      <sz val="11"/>
      <color theme="1"/>
      <name val="Cambria"/>
      <family val="1"/>
    </font>
    <font>
      <sz val="10"/>
      <name val="Cambria"/>
      <family val="1"/>
    </font>
    <font>
      <b/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6">
    <xf numFmtId="0" fontId="0" fillId="0" borderId="0" xfId="0"/>
    <xf numFmtId="165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9" fillId="0" borderId="8" xfId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4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 applyProtection="1">
      <alignment horizontal="center" vertical="center"/>
      <protection locked="0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4" fontId="7" fillId="0" borderId="9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9" fillId="0" borderId="9" xfId="1" applyFont="1" applyFill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165" fontId="8" fillId="0" borderId="9" xfId="0" applyNumberFormat="1" applyFont="1" applyBorder="1" applyAlignment="1" applyProtection="1">
      <alignment horizontal="center" vertical="center"/>
      <protection locked="0"/>
    </xf>
    <xf numFmtId="164" fontId="8" fillId="0" borderId="9" xfId="0" applyNumberFormat="1" applyFont="1" applyBorder="1" applyAlignment="1" applyProtection="1">
      <alignment horizontal="center" vertical="center"/>
      <protection locked="0"/>
    </xf>
    <xf numFmtId="167" fontId="8" fillId="0" borderId="9" xfId="0" applyNumberFormat="1" applyFont="1" applyBorder="1" applyAlignment="1" applyProtection="1">
      <alignment horizontal="center" vertical="center"/>
      <protection locked="0"/>
    </xf>
    <xf numFmtId="165" fontId="8" fillId="0" borderId="9" xfId="0" applyNumberFormat="1" applyFont="1" applyBorder="1" applyAlignment="1">
      <alignment horizontal="center" vertical="center"/>
    </xf>
    <xf numFmtId="0" fontId="11" fillId="0" borderId="9" xfId="1" applyFont="1" applyFill="1" applyBorder="1" applyAlignment="1" applyProtection="1">
      <alignment horizontal="center" vertical="center"/>
      <protection locked="0"/>
    </xf>
    <xf numFmtId="167" fontId="7" fillId="0" borderId="9" xfId="0" applyNumberFormat="1" applyFont="1" applyBorder="1" applyAlignment="1" applyProtection="1">
      <alignment horizontal="center" vertical="center"/>
      <protection locked="0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2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165" fontId="7" fillId="0" borderId="10" xfId="0" applyNumberFormat="1" applyFont="1" applyBorder="1" applyAlignment="1">
      <alignment horizontal="center" vertical="center"/>
    </xf>
    <xf numFmtId="165" fontId="7" fillId="0" borderId="10" xfId="0" applyNumberFormat="1" applyFont="1" applyBorder="1" applyAlignment="1" applyProtection="1">
      <alignment horizontal="center" vertical="center"/>
      <protection locked="0"/>
    </xf>
    <xf numFmtId="167" fontId="7" fillId="0" borderId="10" xfId="0" applyNumberFormat="1" applyFont="1" applyBorder="1" applyAlignment="1" applyProtection="1">
      <alignment horizontal="center" vertical="center"/>
      <protection locked="0"/>
    </xf>
    <xf numFmtId="166" fontId="7" fillId="0" borderId="10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4" fontId="1" fillId="2" borderId="7" xfId="0" applyNumberFormat="1" applyFont="1" applyFill="1" applyBorder="1" applyAlignment="1" applyProtection="1">
      <alignment horizontal="center" vertical="center"/>
      <protection locked="0"/>
    </xf>
    <xf numFmtId="165" fontId="1" fillId="2" borderId="2" xfId="0" applyNumberFormat="1" applyFont="1" applyFill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4" fontId="7" fillId="0" borderId="10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/>
    <xf numFmtId="0" fontId="12" fillId="0" borderId="18" xfId="0" applyFont="1" applyBorder="1"/>
    <xf numFmtId="0" fontId="12" fillId="0" borderId="18" xfId="0" applyFont="1" applyBorder="1" applyAlignment="1">
      <alignment horizontal="left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165" fontId="8" fillId="0" borderId="8" xfId="0" applyNumberFormat="1" applyFont="1" applyBorder="1" applyAlignment="1" applyProtection="1">
      <alignment horizontal="center" vertical="center"/>
      <protection locked="0"/>
    </xf>
    <xf numFmtId="164" fontId="8" fillId="0" borderId="8" xfId="0" applyNumberFormat="1" applyFont="1" applyBorder="1" applyAlignment="1" applyProtection="1">
      <alignment horizontal="center" vertical="center"/>
      <protection locked="0"/>
    </xf>
    <xf numFmtId="167" fontId="8" fillId="0" borderId="8" xfId="0" applyNumberFormat="1" applyFont="1" applyBorder="1" applyAlignment="1" applyProtection="1">
      <alignment horizontal="center" vertical="center"/>
      <protection locked="0"/>
    </xf>
    <xf numFmtId="165" fontId="8" fillId="0" borderId="8" xfId="0" applyNumberFormat="1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11" fillId="0" borderId="10" xfId="1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165" fontId="8" fillId="0" borderId="10" xfId="0" applyNumberFormat="1" applyFont="1" applyBorder="1" applyAlignment="1" applyProtection="1">
      <alignment horizontal="center" vertical="center"/>
      <protection locked="0"/>
    </xf>
    <xf numFmtId="167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 applyProtection="1">
      <alignment horizontal="left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65" fontId="8" fillId="0" borderId="18" xfId="0" applyNumberFormat="1" applyFont="1" applyBorder="1" applyAlignment="1">
      <alignment horizontal="center" vertical="center"/>
    </xf>
    <xf numFmtId="165" fontId="8" fillId="0" borderId="18" xfId="0" applyNumberFormat="1" applyFont="1" applyBorder="1" applyAlignment="1" applyProtection="1">
      <alignment horizontal="center" vertical="center"/>
      <protection locked="0"/>
    </xf>
    <xf numFmtId="2" fontId="7" fillId="0" borderId="18" xfId="0" applyNumberFormat="1" applyFont="1" applyBorder="1" applyAlignment="1" applyProtection="1">
      <alignment horizontal="center" vertical="center"/>
      <protection locked="0"/>
    </xf>
    <xf numFmtId="167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5" fontId="7" fillId="0" borderId="18" xfId="0" applyNumberFormat="1" applyFont="1" applyBorder="1" applyAlignment="1">
      <alignment horizontal="center" vertical="center"/>
    </xf>
    <xf numFmtId="165" fontId="7" fillId="0" borderId="18" xfId="0" applyNumberFormat="1" applyFont="1" applyBorder="1" applyAlignment="1" applyProtection="1">
      <alignment horizontal="center" vertical="center"/>
      <protection locked="0"/>
    </xf>
    <xf numFmtId="167" fontId="8" fillId="0" borderId="18" xfId="0" applyNumberFormat="1" applyFont="1" applyBorder="1" applyAlignment="1" applyProtection="1">
      <alignment horizontal="center" vertical="center"/>
      <protection locked="0"/>
    </xf>
    <xf numFmtId="165" fontId="8" fillId="0" borderId="10" xfId="0" applyNumberFormat="1" applyFont="1" applyBorder="1" applyAlignment="1">
      <alignment horizontal="center" vertical="center"/>
    </xf>
    <xf numFmtId="0" fontId="11" fillId="0" borderId="18" xfId="1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/>
    </xf>
    <xf numFmtId="0" fontId="11" fillId="0" borderId="18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left" vertical="center"/>
      <protection locked="0"/>
    </xf>
    <xf numFmtId="0" fontId="9" fillId="0" borderId="21" xfId="1" applyFont="1" applyFill="1" applyBorder="1" applyAlignment="1" applyProtection="1">
      <alignment horizontal="center" vertical="center"/>
      <protection locked="0"/>
    </xf>
    <xf numFmtId="49" fontId="8" fillId="0" borderId="21" xfId="0" applyNumberFormat="1" applyFont="1" applyBorder="1" applyAlignment="1" applyProtection="1">
      <alignment horizontal="left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65" fontId="7" fillId="0" borderId="21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 applyProtection="1">
      <alignment horizontal="center" vertical="center"/>
      <protection locked="0"/>
    </xf>
    <xf numFmtId="2" fontId="7" fillId="0" borderId="21" xfId="0" applyNumberFormat="1" applyFont="1" applyBorder="1" applyAlignment="1" applyProtection="1">
      <alignment horizontal="center" vertical="center"/>
      <protection locked="0"/>
    </xf>
    <xf numFmtId="4" fontId="7" fillId="0" borderId="21" xfId="0" applyNumberFormat="1" applyFont="1" applyBorder="1" applyAlignment="1" applyProtection="1">
      <alignment horizontal="center" vertical="center"/>
      <protection locked="0"/>
    </xf>
    <xf numFmtId="165" fontId="8" fillId="0" borderId="21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 applyProtection="1">
      <alignment horizontal="center" vertical="center"/>
      <protection locked="0"/>
    </xf>
    <xf numFmtId="167" fontId="7" fillId="0" borderId="21" xfId="0" applyNumberFormat="1" applyFont="1" applyBorder="1" applyAlignment="1" applyProtection="1">
      <alignment horizontal="center" vertical="center"/>
      <protection locked="0"/>
    </xf>
    <xf numFmtId="0" fontId="9" fillId="0" borderId="10" xfId="1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49" fontId="7" fillId="0" borderId="18" xfId="0" applyNumberFormat="1" applyFont="1" applyBorder="1" applyAlignment="1" applyProtection="1">
      <alignment horizontal="left" vertical="center"/>
      <protection locked="0"/>
    </xf>
    <xf numFmtId="4" fontId="7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3" fillId="0" borderId="8" xfId="1" applyFont="1" applyFill="1" applyBorder="1" applyAlignment="1" applyProtection="1">
      <alignment horizontal="center" vertical="center"/>
      <protection locked="0"/>
    </xf>
    <xf numFmtId="166" fontId="7" fillId="0" borderId="8" xfId="0" applyNumberFormat="1" applyFont="1" applyBorder="1" applyAlignment="1" applyProtection="1">
      <alignment horizontal="center" vertical="center"/>
      <protection locked="0"/>
    </xf>
    <xf numFmtId="166" fontId="7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6" fillId="0" borderId="18" xfId="0" applyFont="1" applyBorder="1"/>
    <xf numFmtId="2" fontId="2" fillId="0" borderId="8" xfId="0" applyNumberFormat="1" applyFont="1" applyBorder="1" applyAlignment="1" applyProtection="1">
      <alignment horizontal="left" vertical="center"/>
      <protection locked="0"/>
    </xf>
    <xf numFmtId="2" fontId="2" fillId="0" borderId="9" xfId="0" applyNumberFormat="1" applyFont="1" applyBorder="1" applyAlignment="1" applyProtection="1">
      <alignment horizontal="left" vertical="center"/>
      <protection locked="0"/>
    </xf>
    <xf numFmtId="2" fontId="2" fillId="0" borderId="10" xfId="0" applyNumberFormat="1" applyFont="1" applyBorder="1" applyAlignment="1" applyProtection="1">
      <alignment horizontal="left" vertical="center"/>
      <protection locked="0"/>
    </xf>
    <xf numFmtId="2" fontId="2" fillId="0" borderId="18" xfId="0" applyNumberFormat="1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2" fontId="2" fillId="0" borderId="21" xfId="0" applyNumberFormat="1" applyFont="1" applyBorder="1" applyAlignment="1" applyProtection="1">
      <alignment horizontal="left" vertical="center"/>
      <protection locked="0"/>
    </xf>
    <xf numFmtId="2" fontId="1" fillId="0" borderId="10" xfId="0" applyNumberFormat="1" applyFont="1" applyBorder="1" applyAlignment="1" applyProtection="1">
      <alignment horizontal="left" vertical="center"/>
      <protection locked="0"/>
    </xf>
    <xf numFmtId="2" fontId="1" fillId="0" borderId="8" xfId="0" applyNumberFormat="1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2" fontId="1" fillId="0" borderId="9" xfId="0" applyNumberFormat="1" applyFont="1" applyBorder="1" applyAlignment="1" applyProtection="1">
      <alignment horizontal="left" vertical="center"/>
      <protection locked="0"/>
    </xf>
    <xf numFmtId="2" fontId="1" fillId="0" borderId="18" xfId="0" applyNumberFormat="1" applyFont="1" applyBorder="1" applyAlignment="1" applyProtection="1">
      <alignment horizontal="left" vertical="center"/>
      <protection locked="0"/>
    </xf>
    <xf numFmtId="165" fontId="14" fillId="0" borderId="16" xfId="0" applyNumberFormat="1" applyFont="1" applyBorder="1" applyAlignment="1">
      <alignment horizontal="center" vertical="center"/>
    </xf>
    <xf numFmtId="165" fontId="14" fillId="0" borderId="12" xfId="0" applyNumberFormat="1" applyFont="1" applyBorder="1" applyAlignment="1">
      <alignment horizontal="center" vertical="center"/>
    </xf>
    <xf numFmtId="0" fontId="14" fillId="0" borderId="19" xfId="0" applyFont="1" applyBorder="1"/>
    <xf numFmtId="165" fontId="14" fillId="0" borderId="19" xfId="0" applyNumberFormat="1" applyFont="1" applyBorder="1" applyAlignment="1">
      <alignment horizontal="center" vertical="center"/>
    </xf>
    <xf numFmtId="166" fontId="14" fillId="0" borderId="16" xfId="0" applyNumberFormat="1" applyFont="1" applyBorder="1" applyAlignment="1" applyProtection="1">
      <alignment horizontal="center" vertical="center"/>
      <protection locked="0"/>
    </xf>
    <xf numFmtId="166" fontId="14" fillId="0" borderId="12" xfId="0" applyNumberFormat="1" applyFont="1" applyBorder="1" applyAlignment="1" applyProtection="1">
      <alignment horizontal="center" vertical="center"/>
      <protection locked="0"/>
    </xf>
    <xf numFmtId="166" fontId="14" fillId="0" borderId="19" xfId="0" applyNumberFormat="1" applyFont="1" applyBorder="1" applyAlignment="1" applyProtection="1">
      <alignment horizontal="center" vertical="center"/>
      <protection locked="0"/>
    </xf>
    <xf numFmtId="165" fontId="15" fillId="0" borderId="14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166" fontId="15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166" fontId="1" fillId="0" borderId="8" xfId="0" applyNumberFormat="1" applyFont="1" applyBorder="1" applyAlignment="1" applyProtection="1">
      <alignment horizontal="center" vertical="center"/>
      <protection locked="0"/>
    </xf>
    <xf numFmtId="166" fontId="1" fillId="0" borderId="9" xfId="0" applyNumberFormat="1" applyFont="1" applyBorder="1" applyAlignment="1" applyProtection="1">
      <alignment horizontal="center" vertical="center"/>
      <protection locked="0"/>
    </xf>
    <xf numFmtId="166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/>
    <xf numFmtId="166" fontId="1" fillId="0" borderId="18" xfId="0" applyNumberFormat="1" applyFont="1" applyBorder="1" applyAlignment="1" applyProtection="1">
      <alignment horizontal="center" vertical="center"/>
      <protection locked="0"/>
    </xf>
    <xf numFmtId="166" fontId="1" fillId="0" borderId="21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2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65" fontId="7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 applyProtection="1">
      <alignment horizontal="center" vertical="center"/>
      <protection locked="0"/>
    </xf>
    <xf numFmtId="166" fontId="15" fillId="0" borderId="1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2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49" fontId="7" fillId="0" borderId="24" xfId="0" applyNumberFormat="1" applyFont="1" applyBorder="1" applyAlignment="1" applyProtection="1">
      <alignment horizontal="left" vertical="center"/>
      <protection locked="0"/>
    </xf>
    <xf numFmtId="164" fontId="7" fillId="0" borderId="24" xfId="0" applyNumberFormat="1" applyFont="1" applyBorder="1" applyAlignment="1" applyProtection="1">
      <alignment horizontal="center" vertical="center"/>
      <protection locked="0"/>
    </xf>
    <xf numFmtId="2" fontId="7" fillId="0" borderId="25" xfId="0" applyNumberFormat="1" applyFont="1" applyBorder="1" applyAlignment="1" applyProtection="1">
      <alignment horizontal="center" vertical="center"/>
      <protection locked="0"/>
    </xf>
    <xf numFmtId="2" fontId="1" fillId="0" borderId="24" xfId="0" applyNumberFormat="1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2" fontId="1" fillId="0" borderId="24" xfId="0" applyNumberFormat="1" applyFont="1" applyBorder="1" applyAlignment="1" applyProtection="1">
      <alignment horizontal="center" vertical="center"/>
      <protection locked="0"/>
    </xf>
    <xf numFmtId="165" fontId="7" fillId="0" borderId="23" xfId="0" applyNumberFormat="1" applyFont="1" applyBorder="1" applyAlignment="1">
      <alignment horizontal="center" vertical="center"/>
    </xf>
    <xf numFmtId="165" fontId="7" fillId="0" borderId="24" xfId="0" applyNumberFormat="1" applyFont="1" applyBorder="1" applyAlignment="1" applyProtection="1">
      <alignment horizontal="center" vertical="center"/>
      <protection locked="0"/>
    </xf>
    <xf numFmtId="166" fontId="7" fillId="0" borderId="24" xfId="0" applyNumberFormat="1" applyFont="1" applyBorder="1" applyAlignment="1" applyProtection="1">
      <alignment horizontal="center" vertical="center"/>
      <protection locked="0"/>
    </xf>
    <xf numFmtId="4" fontId="7" fillId="0" borderId="24" xfId="0" applyNumberFormat="1" applyFont="1" applyBorder="1" applyAlignment="1" applyProtection="1">
      <alignment horizontal="center" vertical="center"/>
      <protection locked="0"/>
    </xf>
    <xf numFmtId="166" fontId="14" fillId="0" borderId="25" xfId="0" applyNumberFormat="1" applyFont="1" applyBorder="1" applyAlignment="1" applyProtection="1">
      <alignment horizontal="center" vertical="center"/>
      <protection locked="0"/>
    </xf>
    <xf numFmtId="4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165" fontId="7" fillId="0" borderId="16" xfId="0" applyNumberFormat="1" applyFont="1" applyBorder="1" applyAlignment="1" applyProtection="1">
      <alignment horizontal="center" vertical="center"/>
      <protection locked="0"/>
    </xf>
    <xf numFmtId="165" fontId="7" fillId="0" borderId="12" xfId="0" applyNumberFormat="1" applyFont="1" applyBorder="1" applyAlignment="1" applyProtection="1">
      <alignment horizontal="center" vertical="center"/>
      <protection locked="0"/>
    </xf>
    <xf numFmtId="165" fontId="7" fillId="0" borderId="14" xfId="0" applyNumberFormat="1" applyFont="1" applyBorder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horizontal="center" vertical="center"/>
      <protection locked="0"/>
    </xf>
    <xf numFmtId="165" fontId="15" fillId="0" borderId="16" xfId="0" applyNumberFormat="1" applyFont="1" applyBorder="1" applyAlignment="1" applyProtection="1">
      <alignment horizontal="center" vertical="center"/>
      <protection locked="0"/>
    </xf>
    <xf numFmtId="165" fontId="15" fillId="0" borderId="14" xfId="0" applyNumberFormat="1" applyFont="1" applyBorder="1" applyAlignment="1" applyProtection="1">
      <alignment horizontal="center" vertical="center"/>
      <protection locked="0"/>
    </xf>
    <xf numFmtId="2" fontId="1" fillId="0" borderId="0" xfId="0" applyNumberFormat="1" applyFont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1" fontId="7" fillId="0" borderId="8" xfId="0" applyNumberFormat="1" applyFont="1" applyBorder="1" applyAlignment="1" applyProtection="1">
      <alignment horizontal="left" vertical="center"/>
      <protection locked="0"/>
    </xf>
    <xf numFmtId="1" fontId="7" fillId="0" borderId="9" xfId="0" applyNumberFormat="1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/>
      <protection locked="0"/>
    </xf>
    <xf numFmtId="2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65" fontId="7" fillId="0" borderId="27" xfId="0" applyNumberFormat="1" applyFont="1" applyBorder="1" applyAlignment="1">
      <alignment horizontal="center" vertical="center"/>
    </xf>
    <xf numFmtId="166" fontId="14" fillId="0" borderId="28" xfId="0" applyNumberFormat="1" applyFont="1" applyBorder="1" applyAlignment="1" applyProtection="1">
      <alignment horizontal="center" vertical="center"/>
      <protection locked="0"/>
    </xf>
    <xf numFmtId="165" fontId="15" fillId="3" borderId="14" xfId="0" applyNumberFormat="1" applyFont="1" applyFill="1" applyBorder="1" applyAlignment="1">
      <alignment horizontal="center" vertical="center"/>
    </xf>
    <xf numFmtId="165" fontId="15" fillId="3" borderId="22" xfId="0" applyNumberFormat="1" applyFont="1" applyFill="1" applyBorder="1" applyAlignment="1">
      <alignment horizontal="center" vertical="center"/>
    </xf>
    <xf numFmtId="165" fontId="15" fillId="3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166" fontId="7" fillId="0" borderId="9" xfId="0" applyNumberFormat="1" applyFont="1" applyFill="1" applyBorder="1" applyAlignment="1" applyProtection="1">
      <alignment horizontal="center" vertical="center"/>
      <protection locked="0"/>
    </xf>
    <xf numFmtId="166" fontId="7" fillId="0" borderId="31" xfId="0" applyNumberFormat="1" applyFont="1" applyFill="1" applyBorder="1" applyAlignment="1" applyProtection="1">
      <alignment horizontal="center" vertical="center"/>
      <protection locked="0"/>
    </xf>
    <xf numFmtId="166" fontId="7" fillId="0" borderId="24" xfId="0" applyNumberFormat="1" applyFont="1" applyFill="1" applyBorder="1" applyAlignment="1" applyProtection="1">
      <alignment horizontal="center" vertical="center"/>
      <protection locked="0"/>
    </xf>
    <xf numFmtId="165" fontId="1" fillId="2" borderId="32" xfId="0" applyNumberFormat="1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[$$-1009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61</xdr:row>
      <xdr:rowOff>68580</xdr:rowOff>
    </xdr:from>
    <xdr:to>
      <xdr:col>10</xdr:col>
      <xdr:colOff>609600</xdr:colOff>
      <xdr:row>62</xdr:row>
      <xdr:rowOff>121920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8329D29E-AA79-4944-B4A8-9949139DA082}"/>
            </a:ext>
          </a:extLst>
        </xdr:cNvPr>
        <xdr:cNvSpPr/>
      </xdr:nvSpPr>
      <xdr:spPr>
        <a:xfrm>
          <a:off x="7383780" y="12001500"/>
          <a:ext cx="228600" cy="25908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10</xdr:col>
      <xdr:colOff>660400</xdr:colOff>
      <xdr:row>100</xdr:row>
      <xdr:rowOff>84667</xdr:rowOff>
    </xdr:from>
    <xdr:to>
      <xdr:col>10</xdr:col>
      <xdr:colOff>829733</xdr:colOff>
      <xdr:row>101</xdr:row>
      <xdr:rowOff>177800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D47CCA16-A3C5-4CE2-8772-C88ABBD2F44E}"/>
            </a:ext>
          </a:extLst>
        </xdr:cNvPr>
        <xdr:cNvSpPr/>
      </xdr:nvSpPr>
      <xdr:spPr>
        <a:xfrm>
          <a:off x="8600440" y="5799667"/>
          <a:ext cx="169333" cy="32173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oneCellAnchor>
    <xdr:from>
      <xdr:col>3</xdr:col>
      <xdr:colOff>338667</xdr:colOff>
      <xdr:row>98</xdr:row>
      <xdr:rowOff>177800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4E4060-E49A-425F-82A0-21E69D4DA7F7}"/>
            </a:ext>
          </a:extLst>
        </xdr:cNvPr>
        <xdr:cNvSpPr txBox="1"/>
      </xdr:nvSpPr>
      <xdr:spPr>
        <a:xfrm>
          <a:off x="3790527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oneCellAnchor>
    <xdr:from>
      <xdr:col>3</xdr:col>
      <xdr:colOff>338667</xdr:colOff>
      <xdr:row>109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65B8E0F-27F0-496E-BA54-35A6FE7E9CF2}"/>
            </a:ext>
          </a:extLst>
        </xdr:cNvPr>
        <xdr:cNvSpPr txBox="1"/>
      </xdr:nvSpPr>
      <xdr:spPr>
        <a:xfrm>
          <a:off x="3790527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twoCellAnchor editAs="oneCell">
    <xdr:from>
      <xdr:col>6</xdr:col>
      <xdr:colOff>579120</xdr:colOff>
      <xdr:row>143</xdr:row>
      <xdr:rowOff>160020</xdr:rowOff>
    </xdr:from>
    <xdr:to>
      <xdr:col>15</xdr:col>
      <xdr:colOff>15664</xdr:colOff>
      <xdr:row>176</xdr:row>
      <xdr:rowOff>31079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D2CCF1A-B505-1C40-AE48-3024108F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6360" y="30670500"/>
          <a:ext cx="4892464" cy="6911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63</xdr:row>
      <xdr:rowOff>68580</xdr:rowOff>
    </xdr:from>
    <xdr:to>
      <xdr:col>11</xdr:col>
      <xdr:colOff>609600</xdr:colOff>
      <xdr:row>64</xdr:row>
      <xdr:rowOff>121920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463999FE-E203-4997-B449-4E438F638EE9}"/>
            </a:ext>
          </a:extLst>
        </xdr:cNvPr>
        <xdr:cNvSpPr/>
      </xdr:nvSpPr>
      <xdr:spPr>
        <a:xfrm>
          <a:off x="7178040" y="13083540"/>
          <a:ext cx="228600" cy="2667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twoCellAnchor>
    <xdr:from>
      <xdr:col>11</xdr:col>
      <xdr:colOff>660400</xdr:colOff>
      <xdr:row>102</xdr:row>
      <xdr:rowOff>84667</xdr:rowOff>
    </xdr:from>
    <xdr:to>
      <xdr:col>11</xdr:col>
      <xdr:colOff>829733</xdr:colOff>
      <xdr:row>103</xdr:row>
      <xdr:rowOff>177800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2C0169E0-4D7B-4DD9-9A4D-0AE0A46BE6D7}"/>
            </a:ext>
          </a:extLst>
        </xdr:cNvPr>
        <xdr:cNvSpPr/>
      </xdr:nvSpPr>
      <xdr:spPr>
        <a:xfrm>
          <a:off x="7457440" y="21420667"/>
          <a:ext cx="154093" cy="30649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E" sz="1100"/>
        </a:p>
      </xdr:txBody>
    </xdr:sp>
    <xdr:clientData/>
  </xdr:twoCellAnchor>
  <xdr:oneCellAnchor>
    <xdr:from>
      <xdr:col>4</xdr:col>
      <xdr:colOff>338667</xdr:colOff>
      <xdr:row>100</xdr:row>
      <xdr:rowOff>177800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D12B738-6733-4986-8B75-5AA4465C6E1A}"/>
            </a:ext>
          </a:extLst>
        </xdr:cNvPr>
        <xdr:cNvSpPr txBox="1"/>
      </xdr:nvSpPr>
      <xdr:spPr>
        <a:xfrm>
          <a:off x="2921847" y="2108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oneCellAnchor>
    <xdr:from>
      <xdr:col>4</xdr:col>
      <xdr:colOff>338667</xdr:colOff>
      <xdr:row>111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370765-67A7-4426-BC26-F55402CE01EC}"/>
            </a:ext>
          </a:extLst>
        </xdr:cNvPr>
        <xdr:cNvSpPr txBox="1"/>
      </xdr:nvSpPr>
      <xdr:spPr>
        <a:xfrm>
          <a:off x="2921847" y="23256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twoCellAnchor editAs="oneCell">
    <xdr:from>
      <xdr:col>7</xdr:col>
      <xdr:colOff>579120</xdr:colOff>
      <xdr:row>145</xdr:row>
      <xdr:rowOff>160020</xdr:rowOff>
    </xdr:from>
    <xdr:to>
      <xdr:col>16</xdr:col>
      <xdr:colOff>15664</xdr:colOff>
      <xdr:row>178</xdr:row>
      <xdr:rowOff>31079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E5A73E-19F2-48DF-B77D-01B08E784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6360" y="30670500"/>
          <a:ext cx="4892464" cy="6911939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4</xdr:row>
      <xdr:rowOff>60960</xdr:rowOff>
    </xdr:from>
    <xdr:to>
      <xdr:col>2</xdr:col>
      <xdr:colOff>1150620</xdr:colOff>
      <xdr:row>6</xdr:row>
      <xdr:rowOff>209005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DCA4ED-99FD-1D42-E72E-737642E60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820" y="914400"/>
          <a:ext cx="1097280" cy="57476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121921</xdr:colOff>
      <xdr:row>8</xdr:row>
      <xdr:rowOff>68580</xdr:rowOff>
    </xdr:from>
    <xdr:to>
      <xdr:col>2</xdr:col>
      <xdr:colOff>1097281</xdr:colOff>
      <xdr:row>46</xdr:row>
      <xdr:rowOff>133658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7611F7D-980D-5015-FC32-FCF6B0D6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1" y="1775460"/>
          <a:ext cx="975360" cy="560378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12</xdr:row>
      <xdr:rowOff>45721</xdr:rowOff>
    </xdr:from>
    <xdr:to>
      <xdr:col>2</xdr:col>
      <xdr:colOff>1120140</xdr:colOff>
      <xdr:row>46</xdr:row>
      <xdr:rowOff>135067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2B61763-7C52-FBC4-B132-F4629DC6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" y="2606041"/>
          <a:ext cx="1074420" cy="561788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</xdr:colOff>
      <xdr:row>16</xdr:row>
      <xdr:rowOff>60961</xdr:rowOff>
    </xdr:from>
    <xdr:to>
      <xdr:col>2</xdr:col>
      <xdr:colOff>1143000</xdr:colOff>
      <xdr:row>46</xdr:row>
      <xdr:rowOff>126187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77ED9C6-61C5-38F6-AA62-20C24301A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2961" y="3474721"/>
          <a:ext cx="1112519" cy="552908"/>
        </a:xfrm>
        <a:prstGeom prst="rect">
          <a:avLst/>
        </a:prstGeom>
      </xdr:spPr>
    </xdr:pic>
    <xdr:clientData/>
  </xdr:twoCellAnchor>
  <xdr:twoCellAnchor editAs="oneCell">
    <xdr:from>
      <xdr:col>2</xdr:col>
      <xdr:colOff>45721</xdr:colOff>
      <xdr:row>19</xdr:row>
      <xdr:rowOff>129540</xdr:rowOff>
    </xdr:from>
    <xdr:to>
      <xdr:col>2</xdr:col>
      <xdr:colOff>1120140</xdr:colOff>
      <xdr:row>46</xdr:row>
      <xdr:rowOff>120225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CAA9C77-3584-2E58-B44C-F9138718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8201" y="4183380"/>
          <a:ext cx="1074419" cy="54863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23</xdr:row>
      <xdr:rowOff>45721</xdr:rowOff>
    </xdr:from>
    <xdr:to>
      <xdr:col>2</xdr:col>
      <xdr:colOff>1097281</xdr:colOff>
      <xdr:row>46</xdr:row>
      <xdr:rowOff>68579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8B051B1-850B-1FE4-EE2B-82E7A81B3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7721" y="4953001"/>
          <a:ext cx="1082040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26</xdr:row>
      <xdr:rowOff>30481</xdr:rowOff>
    </xdr:from>
    <xdr:to>
      <xdr:col>2</xdr:col>
      <xdr:colOff>1078493</xdr:colOff>
      <xdr:row>46</xdr:row>
      <xdr:rowOff>129540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44D8369-F694-A08D-C62E-A29D8080E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68680" y="5577841"/>
          <a:ext cx="1002293" cy="55626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53341</xdr:colOff>
      <xdr:row>29</xdr:row>
      <xdr:rowOff>60960</xdr:rowOff>
    </xdr:from>
    <xdr:to>
      <xdr:col>2</xdr:col>
      <xdr:colOff>1127761</xdr:colOff>
      <xdr:row>46</xdr:row>
      <xdr:rowOff>83778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0930C7D-A340-565A-F0D1-7EDD224BD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45821" y="6248400"/>
          <a:ext cx="1074420" cy="510498"/>
        </a:xfrm>
        <a:prstGeom prst="rect">
          <a:avLst/>
        </a:prstGeom>
      </xdr:spPr>
    </xdr:pic>
    <xdr:clientData/>
  </xdr:twoCellAnchor>
  <xdr:twoCellAnchor editAs="oneCell">
    <xdr:from>
      <xdr:col>2</xdr:col>
      <xdr:colOff>7621</xdr:colOff>
      <xdr:row>32</xdr:row>
      <xdr:rowOff>45720</xdr:rowOff>
    </xdr:from>
    <xdr:to>
      <xdr:col>2</xdr:col>
      <xdr:colOff>1165861</xdr:colOff>
      <xdr:row>46</xdr:row>
      <xdr:rowOff>99059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681D89E-5721-4326-FDD7-CD022A352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00101" y="6873240"/>
          <a:ext cx="1158240" cy="52577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15241</xdr:colOff>
      <xdr:row>35</xdr:row>
      <xdr:rowOff>38100</xdr:rowOff>
    </xdr:from>
    <xdr:to>
      <xdr:col>2</xdr:col>
      <xdr:colOff>1179063</xdr:colOff>
      <xdr:row>46</xdr:row>
      <xdr:rowOff>114300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95DE198-04FC-1D4B-A438-9C10BDAB5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07721" y="7505700"/>
          <a:ext cx="1163822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22861</xdr:colOff>
      <xdr:row>38</xdr:row>
      <xdr:rowOff>60960</xdr:rowOff>
    </xdr:from>
    <xdr:to>
      <xdr:col>2</xdr:col>
      <xdr:colOff>1180297</xdr:colOff>
      <xdr:row>46</xdr:row>
      <xdr:rowOff>83820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DF15DEA-E0F7-935F-8FAF-DC0284723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341" y="8168640"/>
          <a:ext cx="1157436" cy="51054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41</xdr:row>
      <xdr:rowOff>15240</xdr:rowOff>
    </xdr:from>
    <xdr:to>
      <xdr:col>2</xdr:col>
      <xdr:colOff>1184451</xdr:colOff>
      <xdr:row>46</xdr:row>
      <xdr:rowOff>137160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1B2CAA6-5697-5FD8-82EB-F838D2CF5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0581" y="8763000"/>
          <a:ext cx="1146350" cy="56388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44</xdr:row>
      <xdr:rowOff>106680</xdr:rowOff>
    </xdr:from>
    <xdr:to>
      <xdr:col>2</xdr:col>
      <xdr:colOff>1124840</xdr:colOff>
      <xdr:row>46</xdr:row>
      <xdr:rowOff>175260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7E9A40F-1DC2-D118-4AD0-23888DA8B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6300" y="9494520"/>
          <a:ext cx="1041020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47</xdr:row>
      <xdr:rowOff>114300</xdr:rowOff>
    </xdr:from>
    <xdr:to>
      <xdr:col>3</xdr:col>
      <xdr:colOff>1</xdr:colOff>
      <xdr:row>118</xdr:row>
      <xdr:rowOff>60960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E54F3F3-869A-4F7A-E89D-D943B9AAB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92481" y="10142220"/>
          <a:ext cx="1196340" cy="58674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60961</xdr:colOff>
      <xdr:row>51</xdr:row>
      <xdr:rowOff>30480</xdr:rowOff>
    </xdr:from>
    <xdr:to>
      <xdr:col>2</xdr:col>
      <xdr:colOff>1150621</xdr:colOff>
      <xdr:row>118</xdr:row>
      <xdr:rowOff>145657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DF1C2AA-AAFC-A20F-F0AE-603AA1E23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3441" y="10911840"/>
          <a:ext cx="1089660" cy="572377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54</xdr:row>
      <xdr:rowOff>60960</xdr:rowOff>
    </xdr:from>
    <xdr:to>
      <xdr:col>2</xdr:col>
      <xdr:colOff>1097280</xdr:colOff>
      <xdr:row>118</xdr:row>
      <xdr:rowOff>132008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39BE4D1-EE2F-C052-E049-684CF4EA7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45820" y="11582400"/>
          <a:ext cx="1043940" cy="558728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57</xdr:row>
      <xdr:rowOff>45720</xdr:rowOff>
    </xdr:from>
    <xdr:to>
      <xdr:col>2</xdr:col>
      <xdr:colOff>1127760</xdr:colOff>
      <xdr:row>118</xdr:row>
      <xdr:rowOff>152399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7618D7D-CB15-F6A1-6C34-3FE1B2C57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38200" y="12207240"/>
          <a:ext cx="1082040" cy="579119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60</xdr:row>
      <xdr:rowOff>22860</xdr:rowOff>
    </xdr:from>
    <xdr:to>
      <xdr:col>2</xdr:col>
      <xdr:colOff>1184983</xdr:colOff>
      <xdr:row>118</xdr:row>
      <xdr:rowOff>129540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D7A4ECF-3515-84C8-0C42-71ECE754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61060" y="12824460"/>
          <a:ext cx="1116403" cy="55626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45721</xdr:colOff>
      <xdr:row>63</xdr:row>
      <xdr:rowOff>30480</xdr:rowOff>
    </xdr:from>
    <xdr:to>
      <xdr:col>3</xdr:col>
      <xdr:colOff>0</xdr:colOff>
      <xdr:row>119</xdr:row>
      <xdr:rowOff>91439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550DA0D-4760-1BA6-6489-B8381D2AA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38201" y="13472160"/>
          <a:ext cx="1150619" cy="731519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67</xdr:row>
      <xdr:rowOff>60960</xdr:rowOff>
    </xdr:from>
    <xdr:to>
      <xdr:col>2</xdr:col>
      <xdr:colOff>1059180</xdr:colOff>
      <xdr:row>118</xdr:row>
      <xdr:rowOff>138910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3047F39-379D-F9C7-5219-EC4F61090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99160" y="14356080"/>
          <a:ext cx="952500" cy="56563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70</xdr:row>
      <xdr:rowOff>22861</xdr:rowOff>
    </xdr:from>
    <xdr:to>
      <xdr:col>2</xdr:col>
      <xdr:colOff>1120140</xdr:colOff>
      <xdr:row>144</xdr:row>
      <xdr:rowOff>139125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80AED68-CFD1-F229-B2B7-6A7D4C925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68680" y="14958061"/>
          <a:ext cx="1043940" cy="56584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73</xdr:row>
      <xdr:rowOff>68580</xdr:rowOff>
    </xdr:from>
    <xdr:to>
      <xdr:col>2</xdr:col>
      <xdr:colOff>1120141</xdr:colOff>
      <xdr:row>144</xdr:row>
      <xdr:rowOff>114783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4188B00-86AF-5E0D-19F6-128B2035D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92481" y="15643860"/>
          <a:ext cx="1120140" cy="541504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76</xdr:row>
      <xdr:rowOff>30481</xdr:rowOff>
    </xdr:from>
    <xdr:to>
      <xdr:col>2</xdr:col>
      <xdr:colOff>1120140</xdr:colOff>
      <xdr:row>144</xdr:row>
      <xdr:rowOff>151129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CEDED2F-D68F-8686-9540-42DEB38B0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53440" y="16245841"/>
          <a:ext cx="1059180" cy="5778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79</xdr:row>
      <xdr:rowOff>152400</xdr:rowOff>
    </xdr:from>
    <xdr:to>
      <xdr:col>2</xdr:col>
      <xdr:colOff>1112520</xdr:colOff>
      <xdr:row>146</xdr:row>
      <xdr:rowOff>15473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9BD8F29-59B3-C11D-C001-AA240F7B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68680" y="17007840"/>
          <a:ext cx="1036320" cy="86891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</xdr:colOff>
      <xdr:row>85</xdr:row>
      <xdr:rowOff>152401</xdr:rowOff>
    </xdr:from>
    <xdr:to>
      <xdr:col>2</xdr:col>
      <xdr:colOff>1189771</xdr:colOff>
      <xdr:row>147</xdr:row>
      <xdr:rowOff>112605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C1C13D0-C172-E2ED-70E2-7AA26623A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15340" y="18288001"/>
          <a:ext cx="1166911" cy="1181099"/>
        </a:xfrm>
        <a:prstGeom prst="rect">
          <a:avLst/>
        </a:prstGeom>
      </xdr:spPr>
    </xdr:pic>
    <xdr:clientData/>
  </xdr:twoCellAnchor>
  <xdr:twoCellAnchor editAs="oneCell">
    <xdr:from>
      <xdr:col>1</xdr:col>
      <xdr:colOff>594361</xdr:colOff>
      <xdr:row>93</xdr:row>
      <xdr:rowOff>114300</xdr:rowOff>
    </xdr:from>
    <xdr:to>
      <xdr:col>2</xdr:col>
      <xdr:colOff>1168561</xdr:colOff>
      <xdr:row>148</xdr:row>
      <xdr:rowOff>120226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FB7B382E-F5A6-2797-3B24-5062F843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77241" y="19956780"/>
          <a:ext cx="1183800" cy="140207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102</xdr:row>
      <xdr:rowOff>0</xdr:rowOff>
    </xdr:from>
    <xdr:to>
      <xdr:col>3</xdr:col>
      <xdr:colOff>38101</xdr:colOff>
      <xdr:row>149</xdr:row>
      <xdr:rowOff>167640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09B3DFB-9BE0-3E0B-BDDA-2B95D3270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92481" y="21762720"/>
          <a:ext cx="1234440" cy="16611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1135380</xdr:colOff>
      <xdr:row>148</xdr:row>
      <xdr:rowOff>91440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7787DBE-8B15-90F9-4ABA-834809B8C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92480" y="23682960"/>
          <a:ext cx="113538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118</xdr:row>
      <xdr:rowOff>38101</xdr:rowOff>
    </xdr:from>
    <xdr:to>
      <xdr:col>2</xdr:col>
      <xdr:colOff>1165952</xdr:colOff>
      <xdr:row>145</xdr:row>
      <xdr:rowOff>68580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511B2BC-DD32-F527-4F48-03D846AA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3920" y="25214581"/>
          <a:ext cx="1074512" cy="670559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122</xdr:row>
      <xdr:rowOff>1</xdr:rowOff>
    </xdr:from>
    <xdr:to>
      <xdr:col>2</xdr:col>
      <xdr:colOff>1104900</xdr:colOff>
      <xdr:row>150</xdr:row>
      <xdr:rowOff>137160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544F672-4BEE-4CFC-2B81-C0974907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83920" y="26029921"/>
          <a:ext cx="1013460" cy="1417320"/>
        </a:xfrm>
        <a:prstGeom prst="rect">
          <a:avLst/>
        </a:prstGeom>
      </xdr:spPr>
    </xdr:pic>
    <xdr:clientData/>
  </xdr:twoCellAnchor>
  <xdr:twoCellAnchor editAs="oneCell">
    <xdr:from>
      <xdr:col>2</xdr:col>
      <xdr:colOff>7621</xdr:colOff>
      <xdr:row>132</xdr:row>
      <xdr:rowOff>76200</xdr:rowOff>
    </xdr:from>
    <xdr:to>
      <xdr:col>2</xdr:col>
      <xdr:colOff>1104901</xdr:colOff>
      <xdr:row>150</xdr:row>
      <xdr:rowOff>91440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8E4FD5FC-1583-8F1D-BFB5-3ED1699DA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00101" y="28239720"/>
          <a:ext cx="1097280" cy="1371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8A0A01-E202-4CA0-9348-F98539685147}" name="Table1" displayName="Table1" ref="A4:U143" totalsRowCount="1" headerRowDxfId="70" dataDxfId="68" headerRowBorderDxfId="69" tableBorderDxfId="67" totalsRowBorderDxfId="66">
  <autoFilter ref="A4:U142" xr:uid="{1D8A0A01-E202-4CA0-9348-F98539685147}"/>
  <tableColumns count="21">
    <tableColumn id="1" xr3:uid="{C37B458F-B40C-4EDE-B172-7636C6E42737}" name="Sr" totalsRowFunction="count" dataDxfId="65" totalsRowDxfId="64"/>
    <tableColumn id="2" xr3:uid="{E604B846-AF3C-46EC-87CE-B5C8870BA721}" name="Length" dataDxfId="63" totalsRowDxfId="62"/>
    <tableColumn id="3" xr3:uid="{578442A8-C285-4191-B1A4-470938271ED2}" name="ITEM" dataDxfId="61" totalsRowDxfId="60"/>
    <tableColumn id="4" xr3:uid="{1602D598-096E-4EBC-B688-BFD839829755}" name="LAB" dataDxfId="59" totalsRowDxfId="58"/>
    <tableColumn id="5" xr3:uid="{90FB89DB-6274-4BAB-9095-88B1C28E924D}" name="Cert Number" dataDxfId="57" totalsRowDxfId="56"/>
    <tableColumn id="6" xr3:uid="{74D13E85-0389-4C64-8A37-8998318E3E13}" name="Parcel Id" dataDxfId="55" totalsRowDxfId="54"/>
    <tableColumn id="7" xr3:uid="{CF9BCEFB-4C82-4938-B0E2-C13FB02041D0}" name="Size2" dataDxfId="53" totalsRowDxfId="52"/>
    <tableColumn id="8" xr3:uid="{92D44F6D-431C-4BC3-A20F-48389EDD8434}" name="Avg Pts" dataDxfId="51" totalsRowDxfId="50">
      <calculatedColumnFormula>J5/I5</calculatedColumnFormula>
    </tableColumn>
    <tableColumn id="9" xr3:uid="{2A25E091-7F14-4E33-9973-BCC41BEA0FDD}" name="No.Pcs" totalsRowFunction="sum" dataDxfId="49" totalsRowDxfId="48"/>
    <tableColumn id="10" xr3:uid="{F57A6650-42AE-4CB4-923E-9DE0A54FB2C8}" name="Diam Cts" totalsRowFunction="sum" dataDxfId="47" totalsRowDxfId="46"/>
    <tableColumn id="11" xr3:uid="{782BE8D8-C01B-494E-B118-B790D79163ED}" name="Col - Clarity" dataDxfId="45" totalsRowDxfId="44"/>
    <tableColumn id="12" xr3:uid="{7E34896A-CA38-49C8-BBDF-B5435128081A}" name="LOT" dataDxfId="43" totalsRowDxfId="42"/>
    <tableColumn id="13" xr3:uid="{8A78120C-41AD-44FE-B347-4CD6AACCD569}" name="Per/ct2" dataDxfId="41" totalsRowDxfId="40"/>
    <tableColumn id="14" xr3:uid="{1274ED3D-87B0-4DCB-8950-A6C6F325D46B}" name="Diam Total" totalsRowFunction="sum" dataDxfId="39" totalsRowDxfId="38">
      <calculatedColumnFormula>M5*J5</calculatedColumnFormula>
    </tableColumn>
    <tableColumn id="15" xr3:uid="{881EDE34-BFFE-4617-B8C9-7349958E9745}" name="Gold/gm" dataDxfId="37" totalsRowDxfId="36"/>
    <tableColumn id="16" xr3:uid="{B1D4BE4C-D71F-4935-87C8-33936F840657}" name="Gross Gm" totalsRowFunction="sum" dataDxfId="35" totalsRowDxfId="34"/>
    <tableColumn id="17" xr3:uid="{59A5AA97-A04E-48F7-9427-A3584F66C1A2}" name="Net Gm" totalsRowFunction="sum" dataDxfId="33" totalsRowDxfId="32"/>
    <tableColumn id="18" xr3:uid="{70DC2AC2-35C8-4A4A-925E-396E8CCED398}" name="Gold Total" totalsRowFunction="sum" dataDxfId="31" totalsRowDxfId="30"/>
    <tableColumn id="19" xr3:uid="{72582A83-D778-45F5-9900-952A4E54D563}" name="Labour" totalsRowFunction="sum" dataDxfId="29" totalsRowDxfId="28"/>
    <tableColumn id="20" xr3:uid="{5DA6C64C-D751-4696-823A-2CAD70DF56AF}" name="Cert Exp" totalsRowFunction="sum" dataDxfId="27" totalsRowDxfId="26"/>
    <tableColumn id="21" xr3:uid="{17F076ED-78E9-4D3D-BF76-43C6A780C551}" name="Total Amt" totalsRowFunction="sum" dataDxfId="25" totalsRow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791A6B-E301-406A-8EBF-6892EC72E161}" name="Table13" displayName="Table13" ref="A4:W145" totalsRowCount="1" headerRowDxfId="97" dataDxfId="95" headerRowBorderDxfId="96" tableBorderDxfId="94" totalsRowBorderDxfId="93">
  <autoFilter ref="A4:W144" xr:uid="{1D8A0A01-E202-4CA0-9348-F98539685147}">
    <filterColumn colId="22">
      <customFilters>
        <customFilter operator="notEqual" val=" "/>
      </customFilters>
    </filterColumn>
  </autoFilter>
  <tableColumns count="23">
    <tableColumn id="1" xr3:uid="{4AAFDC6F-68C7-497F-B4E6-C1BC729BCCB0}" name="Sr" totalsRowFunction="count" dataDxfId="92" totalsRowDxfId="22"/>
    <tableColumn id="2" xr3:uid="{3B642453-23CB-4B66-829E-607E6133595D}" name="Length" dataDxfId="91" totalsRowDxfId="21"/>
    <tableColumn id="22" xr3:uid="{83B60B05-DEC7-4787-996C-3EAC988DA3E2}" name="Image" dataDxfId="90" totalsRowDxfId="20"/>
    <tableColumn id="3" xr3:uid="{ECD903B8-5132-476D-8311-EAB588CD4069}" name="ITEM" dataDxfId="89" totalsRowDxfId="19"/>
    <tableColumn id="4" xr3:uid="{787532EE-35AD-466A-B620-FE2651328758}" name="LAB" dataDxfId="88" totalsRowDxfId="18"/>
    <tableColumn id="5" xr3:uid="{00289551-7CB2-4DB2-BAFC-35137CDFFE1F}" name="Cert Number" dataDxfId="87" totalsRowDxfId="17"/>
    <tableColumn id="6" xr3:uid="{9BA2ACD1-1D3E-4778-86B6-35E842B2342F}" name="Parcel Id" dataDxfId="86" totalsRowDxfId="16"/>
    <tableColumn id="7" xr3:uid="{0AA09647-D941-4CA8-B006-410C10A969F8}" name="Size2" dataDxfId="85" totalsRowDxfId="15"/>
    <tableColumn id="8" xr3:uid="{E651F7F1-EE7D-41F0-BFE5-5F0ABB6EE294}" name="Avg Pts" dataDxfId="84" totalsRowDxfId="14">
      <calculatedColumnFormula>K5/J5</calculatedColumnFormula>
    </tableColumn>
    <tableColumn id="9" xr3:uid="{E72B5353-D1F4-4180-8A95-37E4D6970BE9}" name="No.Pcs" totalsRowFunction="sum" dataDxfId="83" totalsRowDxfId="13"/>
    <tableColumn id="10" xr3:uid="{87FDE32D-BC05-454F-85DE-D552A8060B21}" name="Diam Cts" totalsRowFunction="sum" dataDxfId="82" totalsRowDxfId="12"/>
    <tableColumn id="11" xr3:uid="{A8E582D1-9D4B-46AB-8E04-2611971DEF0F}" name="Col - Clarity" dataDxfId="81" totalsRowDxfId="11"/>
    <tableColumn id="12" xr3:uid="{30109A59-87E3-4597-8A50-475BD8A9E8F1}" name="LOT" dataDxfId="80" totalsRowDxfId="10"/>
    <tableColumn id="13" xr3:uid="{68E3DBE5-8382-4308-8125-FE0FD05140E9}" name="Per/ct2" dataDxfId="79" totalsRowDxfId="9"/>
    <tableColumn id="14" xr3:uid="{170201DC-4ADF-4AF7-9090-24E703CF4E2E}" name="Diam Total" totalsRowFunction="sum" dataDxfId="78" totalsRowDxfId="8">
      <calculatedColumnFormula>N5*K5</calculatedColumnFormula>
    </tableColumn>
    <tableColumn id="15" xr3:uid="{9DE80502-EBA9-414C-B785-C4020A28DEA8}" name="Gold/gm" dataDxfId="77" totalsRowDxfId="7"/>
    <tableColumn id="16" xr3:uid="{3E252478-A8B0-43F3-8A8B-1ABC41A56149}" name="Gross Gm" totalsRowFunction="sum" dataDxfId="76" totalsRowDxfId="6"/>
    <tableColumn id="17" xr3:uid="{0AE9CE19-ADE0-48A2-82CE-ECF53B44698D}" name="Net Gm" totalsRowFunction="sum" dataDxfId="75" totalsRowDxfId="5"/>
    <tableColumn id="18" xr3:uid="{43491BE4-E7B1-42FB-A9E5-CE9BBCD18119}" name="Gold Total" totalsRowFunction="sum" dataDxfId="74" totalsRowDxfId="4"/>
    <tableColumn id="19" xr3:uid="{258C98CA-AD0D-43E2-9651-52B323972ABB}" name="Labour" totalsRowFunction="sum" dataDxfId="73" totalsRowDxfId="3"/>
    <tableColumn id="20" xr3:uid="{33C2E2E8-9482-46D2-9437-9594D114EE43}" name="Cert Exp" totalsRowFunction="sum" dataDxfId="72" totalsRowDxfId="2"/>
    <tableColumn id="21" xr3:uid="{4BF0794B-537B-4B65-81CB-77A74E57198B}" name="Total Amt" totalsRowFunction="sum" dataDxfId="71" totalsRowDxfId="1"/>
    <tableColumn id="23" xr3:uid="{8DC67D42-E4D9-4DC5-A6E2-0D4A48390CB5}" name="Column1" dataDxfId="23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ntonia.aspgulf.net/certificate/J250000112854%205.05ct.pdf" TargetMode="External"/><Relationship Id="rId18" Type="http://schemas.openxmlformats.org/officeDocument/2006/relationships/hyperlink" Target="https://antonia.aspgulf.net/certificate/J250000122466-7.49ct-42pcs.pdf" TargetMode="External"/><Relationship Id="rId26" Type="http://schemas.openxmlformats.org/officeDocument/2006/relationships/hyperlink" Target="https://antonia.aspgulf.net/certificate/J240000112221%20EF%20VS-SI%2024.11ct.pdf" TargetMode="External"/><Relationship Id="rId3" Type="http://schemas.openxmlformats.org/officeDocument/2006/relationships/hyperlink" Target="https://antonia.aspgulf.net/certificate/J250000130901%204.74ct-56pcs.pdf" TargetMode="External"/><Relationship Id="rId21" Type="http://schemas.openxmlformats.org/officeDocument/2006/relationships/hyperlink" Target="https://antonia.aspgulf.net/certificate/J250000130900%206.81ct-56pcs.pdf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https://antonia.aspgulf.net/certificate/J250000085190%2044pcs-6.41ct.pdf" TargetMode="External"/><Relationship Id="rId12" Type="http://schemas.openxmlformats.org/officeDocument/2006/relationships/hyperlink" Target="https://antonia.aspgulf.net/certificate/J250000112880%208.50ct.pdf" TargetMode="External"/><Relationship Id="rId17" Type="http://schemas.openxmlformats.org/officeDocument/2006/relationships/hyperlink" Target="https://antonia.aspgulf.net/certificate/J250000089669-32pcs-7.06ct.pdf" TargetMode="External"/><Relationship Id="rId25" Type="http://schemas.openxmlformats.org/officeDocument/2006/relationships/hyperlink" Target="https://antonia.aspgulf.net/certificate/J260000066405%20EF%20VS-SI%2014.11ct.pdf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antonia.aspgulf.net/certificate/J250000130902%204.51ct-42pcs.pdf" TargetMode="External"/><Relationship Id="rId16" Type="http://schemas.openxmlformats.org/officeDocument/2006/relationships/hyperlink" Target="https://antonia.aspgulf.net/certificate/J250000085189%20EF%20VS%206.42ct.pdf" TargetMode="External"/><Relationship Id="rId20" Type="http://schemas.openxmlformats.org/officeDocument/2006/relationships/hyperlink" Target="https://antonia.aspgulf.net/certificate/J250000081111%20EF%20VVS-VS%209.16ct.pdf" TargetMode="External"/><Relationship Id="rId29" Type="http://schemas.openxmlformats.org/officeDocument/2006/relationships/hyperlink" Target="https://antonia.aspgulf.net/certificate/J240000105224%20EF%20VS-SI%2017.43ct%20Nks.pdf" TargetMode="External"/><Relationship Id="rId1" Type="http://schemas.openxmlformats.org/officeDocument/2006/relationships/hyperlink" Target="https://antonia.aspgulf.net/certificate/J250000112866%203.34ct%20Brc.pdf" TargetMode="External"/><Relationship Id="rId6" Type="http://schemas.openxmlformats.org/officeDocument/2006/relationships/hyperlink" Target="https://antonia.aspgulf.net/certificate/J250000122464%206.21ct-51pcs.pdf" TargetMode="External"/><Relationship Id="rId11" Type="http://schemas.openxmlformats.org/officeDocument/2006/relationships/hyperlink" Target="https://antonia.aspgulf.net/certificate/J250000122468-7.19ct-48pcs.pdf" TargetMode="External"/><Relationship Id="rId24" Type="http://schemas.openxmlformats.org/officeDocument/2006/relationships/hyperlink" Target="https://antonia.aspgulf.net/certificate/J260000066375%20EF%20VS-SI-13.34ct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antonia.aspgulf.net/certificate/J250000122437%206.38ct-51pcs.pdf" TargetMode="External"/><Relationship Id="rId15" Type="http://schemas.openxmlformats.org/officeDocument/2006/relationships/hyperlink" Target="https://antonia.aspgulf.net/certificate/J250000085194%2039pcs-5.59ct.pdf" TargetMode="External"/><Relationship Id="rId23" Type="http://schemas.openxmlformats.org/officeDocument/2006/relationships/hyperlink" Target="https://antonia.aspgulf.net/certificate/J250000084449%20EF%20VVS-VS%209.79ct.pdf" TargetMode="External"/><Relationship Id="rId28" Type="http://schemas.openxmlformats.org/officeDocument/2006/relationships/hyperlink" Target="https://antonia.aspgulf.net/certificate/J260000071929%20EFG%20VS-SI-22.28ct.pdf" TargetMode="External"/><Relationship Id="rId36" Type="http://schemas.openxmlformats.org/officeDocument/2006/relationships/comments" Target="../comments1.xml"/><Relationship Id="rId10" Type="http://schemas.openxmlformats.org/officeDocument/2006/relationships/hyperlink" Target="https://antonia.aspgulf.net/certificate/J250000122467-7.84ct-44pc.pdf" TargetMode="External"/><Relationship Id="rId19" Type="http://schemas.openxmlformats.org/officeDocument/2006/relationships/hyperlink" Target="https://antonia.aspgulf.net/certificate/J250000122465-7.95ct-32pcs.pdf" TargetMode="External"/><Relationship Id="rId31" Type="http://schemas.openxmlformats.org/officeDocument/2006/relationships/hyperlink" Target="https://antonia.aspgulf.net/certificate/J250000161743%20147pcs-13.40ct.pdf" TargetMode="External"/><Relationship Id="rId4" Type="http://schemas.openxmlformats.org/officeDocument/2006/relationships/hyperlink" Target="https://antonia.aspgulf.net/certificate/J250000112868%205.02ct.pdf" TargetMode="External"/><Relationship Id="rId9" Type="http://schemas.openxmlformats.org/officeDocument/2006/relationships/hyperlink" Target="https://antonia.aspgulf.net/certificate/J250000122458-6.72ct-54pcs.pdf" TargetMode="External"/><Relationship Id="rId14" Type="http://schemas.openxmlformats.org/officeDocument/2006/relationships/hyperlink" Target="https://antonia.aspgulf.net/video/J250000112860%205.53ct.pdf" TargetMode="External"/><Relationship Id="rId22" Type="http://schemas.openxmlformats.org/officeDocument/2006/relationships/hyperlink" Target="https://antonia.aspgulf.net/certificate/J250000112861%209.25ct.pdf" TargetMode="External"/><Relationship Id="rId27" Type="http://schemas.openxmlformats.org/officeDocument/2006/relationships/hyperlink" Target="https://antonia.aspgulf.net/certificate/J260000049983-59p-16.14ct.pdf" TargetMode="External"/><Relationship Id="rId30" Type="http://schemas.openxmlformats.org/officeDocument/2006/relationships/hyperlink" Target="https://antonia.aspgulf.net/certificate/J250000119841%2011.71ct%20EF%20VS-SI.pdf" TargetMode="External"/><Relationship Id="rId35" Type="http://schemas.openxmlformats.org/officeDocument/2006/relationships/table" Target="../tables/table1.xml"/><Relationship Id="rId8" Type="http://schemas.openxmlformats.org/officeDocument/2006/relationships/hyperlink" Target="https://antonia.aspgulf.net/certificate/J250000040437%20Emd%20Brc%206.85ct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ntonia.aspgulf.net/certificate/J250000112854%205.05ct.pdf" TargetMode="External"/><Relationship Id="rId18" Type="http://schemas.openxmlformats.org/officeDocument/2006/relationships/hyperlink" Target="https://antonia.aspgulf.net/certificate/J250000122466-7.49ct-42pcs.pdf" TargetMode="External"/><Relationship Id="rId26" Type="http://schemas.openxmlformats.org/officeDocument/2006/relationships/hyperlink" Target="https://antonia.aspgulf.net/certificate/J240000112221%20EF%20VS-SI%2024.11ct.pdf" TargetMode="External"/><Relationship Id="rId3" Type="http://schemas.openxmlformats.org/officeDocument/2006/relationships/hyperlink" Target="https://antonia.aspgulf.net/certificate/J250000130901%204.74ct-56pcs.pdf" TargetMode="External"/><Relationship Id="rId21" Type="http://schemas.openxmlformats.org/officeDocument/2006/relationships/hyperlink" Target="https://antonia.aspgulf.net/certificate/J250000130900%206.81ct-56pcs.pdf" TargetMode="External"/><Relationship Id="rId34" Type="http://schemas.openxmlformats.org/officeDocument/2006/relationships/vmlDrawing" Target="../drawings/vmlDrawing2.vml"/><Relationship Id="rId7" Type="http://schemas.openxmlformats.org/officeDocument/2006/relationships/hyperlink" Target="https://antonia.aspgulf.net/certificate/J250000085190%2044pcs-6.41ct.pdf" TargetMode="External"/><Relationship Id="rId12" Type="http://schemas.openxmlformats.org/officeDocument/2006/relationships/hyperlink" Target="https://antonia.aspgulf.net/certificate/J250000112880%208.50ct.pdf" TargetMode="External"/><Relationship Id="rId17" Type="http://schemas.openxmlformats.org/officeDocument/2006/relationships/hyperlink" Target="https://antonia.aspgulf.net/certificate/J250000089669-32pcs-7.06ct.pdf" TargetMode="External"/><Relationship Id="rId25" Type="http://schemas.openxmlformats.org/officeDocument/2006/relationships/hyperlink" Target="https://antonia.aspgulf.net/certificate/J260000066405%20EF%20VS-SI%2014.11ct.pdf" TargetMode="External"/><Relationship Id="rId33" Type="http://schemas.openxmlformats.org/officeDocument/2006/relationships/drawing" Target="../drawings/drawing2.xml"/><Relationship Id="rId2" Type="http://schemas.openxmlformats.org/officeDocument/2006/relationships/hyperlink" Target="https://antonia.aspgulf.net/certificate/J250000130902%204.51ct-42pcs.pdf" TargetMode="External"/><Relationship Id="rId16" Type="http://schemas.openxmlformats.org/officeDocument/2006/relationships/hyperlink" Target="https://antonia.aspgulf.net/certificate/J250000085189%20EF%20VS%206.42ct.pdf" TargetMode="External"/><Relationship Id="rId20" Type="http://schemas.openxmlformats.org/officeDocument/2006/relationships/hyperlink" Target="https://antonia.aspgulf.net/certificate/J250000081111%20EF%20VVS-VS%209.16ct.pdf" TargetMode="External"/><Relationship Id="rId29" Type="http://schemas.openxmlformats.org/officeDocument/2006/relationships/hyperlink" Target="https://antonia.aspgulf.net/certificate/J240000105224%20EF%20VS-SI%2017.43ct%20Nks.pdf" TargetMode="External"/><Relationship Id="rId1" Type="http://schemas.openxmlformats.org/officeDocument/2006/relationships/hyperlink" Target="https://antonia.aspgulf.net/certificate/J250000112866%203.34ct%20Brc.pdf" TargetMode="External"/><Relationship Id="rId6" Type="http://schemas.openxmlformats.org/officeDocument/2006/relationships/hyperlink" Target="https://antonia.aspgulf.net/certificate/J250000122464%206.21ct-51pcs.pdf" TargetMode="External"/><Relationship Id="rId11" Type="http://schemas.openxmlformats.org/officeDocument/2006/relationships/hyperlink" Target="https://antonia.aspgulf.net/certificate/J250000122468-7.19ct-48pcs.pdf" TargetMode="External"/><Relationship Id="rId24" Type="http://schemas.openxmlformats.org/officeDocument/2006/relationships/hyperlink" Target="https://antonia.aspgulf.net/certificate/J260000066375%20EF%20VS-SI-13.34ct.pdf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antonia.aspgulf.net/certificate/J250000122437%206.38ct-51pcs.pdf" TargetMode="External"/><Relationship Id="rId15" Type="http://schemas.openxmlformats.org/officeDocument/2006/relationships/hyperlink" Target="https://antonia.aspgulf.net/certificate/J250000085194%2039pcs-5.59ct.pdf" TargetMode="External"/><Relationship Id="rId23" Type="http://schemas.openxmlformats.org/officeDocument/2006/relationships/hyperlink" Target="https://antonia.aspgulf.net/certificate/J250000084449%20EF%20VVS-VS%209.79ct.pdf" TargetMode="External"/><Relationship Id="rId28" Type="http://schemas.openxmlformats.org/officeDocument/2006/relationships/hyperlink" Target="https://antonia.aspgulf.net/certificate/J260000071929%20EFG%20VS-SI-22.28ct.pdf" TargetMode="External"/><Relationship Id="rId36" Type="http://schemas.openxmlformats.org/officeDocument/2006/relationships/comments" Target="../comments2.xml"/><Relationship Id="rId10" Type="http://schemas.openxmlformats.org/officeDocument/2006/relationships/hyperlink" Target="https://antonia.aspgulf.net/certificate/J250000122467-7.84ct-44pc.pdf" TargetMode="External"/><Relationship Id="rId19" Type="http://schemas.openxmlformats.org/officeDocument/2006/relationships/hyperlink" Target="https://antonia.aspgulf.net/certificate/J250000122465-7.95ct-32pcs.pdf" TargetMode="External"/><Relationship Id="rId31" Type="http://schemas.openxmlformats.org/officeDocument/2006/relationships/hyperlink" Target="https://antonia.aspgulf.net/certificate/J250000161743%20147pcs-13.40ct.pdf" TargetMode="External"/><Relationship Id="rId4" Type="http://schemas.openxmlformats.org/officeDocument/2006/relationships/hyperlink" Target="https://antonia.aspgulf.net/certificate/J250000112868%205.02ct.pdf" TargetMode="External"/><Relationship Id="rId9" Type="http://schemas.openxmlformats.org/officeDocument/2006/relationships/hyperlink" Target="https://antonia.aspgulf.net/certificate/J250000122458-6.72ct-54pcs.pdf" TargetMode="External"/><Relationship Id="rId14" Type="http://schemas.openxmlformats.org/officeDocument/2006/relationships/hyperlink" Target="https://antonia.aspgulf.net/video/J250000112860%205.53ct.pdf" TargetMode="External"/><Relationship Id="rId22" Type="http://schemas.openxmlformats.org/officeDocument/2006/relationships/hyperlink" Target="https://antonia.aspgulf.net/certificate/J250000112861%209.25ct.pdf" TargetMode="External"/><Relationship Id="rId27" Type="http://schemas.openxmlformats.org/officeDocument/2006/relationships/hyperlink" Target="https://antonia.aspgulf.net/certificate/J260000049983-59p-16.14ct.pdf" TargetMode="External"/><Relationship Id="rId30" Type="http://schemas.openxmlformats.org/officeDocument/2006/relationships/hyperlink" Target="https://antonia.aspgulf.net/certificate/J250000119841%2011.71ct%20EF%20VS-SI.pdf" TargetMode="External"/><Relationship Id="rId35" Type="http://schemas.openxmlformats.org/officeDocument/2006/relationships/table" Target="../tables/table2.xml"/><Relationship Id="rId8" Type="http://schemas.openxmlformats.org/officeDocument/2006/relationships/hyperlink" Target="https://antonia.aspgulf.net/certificate/J250000040437%20Emd%20Brc%206.85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14BD-F751-40C8-93B8-10C06CC92D12}">
  <dimension ref="A2:U147"/>
  <sheetViews>
    <sheetView zoomScaleNormal="100" workbookViewId="0">
      <pane ySplit="4" topLeftCell="A351" activePane="bottomLeft" state="frozen"/>
      <selection pane="bottomLeft" activeCell="D159" sqref="D159"/>
    </sheetView>
  </sheetViews>
  <sheetFormatPr defaultRowHeight="16.95" customHeight="1" x14ac:dyDescent="0.2"/>
  <cols>
    <col min="1" max="1" width="2.6640625" style="2" customWidth="1"/>
    <col min="2" max="2" width="8.88671875" style="2" customWidth="1"/>
    <col min="3" max="3" width="26.109375" style="2" bestFit="1" customWidth="1"/>
    <col min="4" max="4" width="7.88671875" style="2" customWidth="1"/>
    <col min="5" max="5" width="13.109375" style="2" customWidth="1"/>
    <col min="6" max="6" width="9.6640625" style="2" customWidth="1"/>
    <col min="7" max="7" width="8.88671875" style="2"/>
    <col min="8" max="8" width="7.21875" style="2" customWidth="1"/>
    <col min="9" max="9" width="7.88671875" style="2" customWidth="1"/>
    <col min="10" max="10" width="8.21875" style="2" customWidth="1"/>
    <col min="11" max="11" width="11.88671875" style="2" customWidth="1"/>
    <col min="12" max="12" width="7" style="2" customWidth="1"/>
    <col min="13" max="13" width="9" style="2" bestFit="1" customWidth="1"/>
    <col min="14" max="14" width="11.44140625" style="2" customWidth="1"/>
    <col min="15" max="15" width="8" style="2" customWidth="1"/>
    <col min="16" max="16" width="7.33203125" style="2" customWidth="1"/>
    <col min="17" max="17" width="6.44140625" style="2" customWidth="1"/>
    <col min="18" max="18" width="10.33203125" style="2" customWidth="1"/>
    <col min="19" max="19" width="9" style="2" customWidth="1"/>
    <col min="20" max="20" width="9.33203125" style="2" customWidth="1"/>
    <col min="21" max="21" width="10.6640625" style="2" customWidth="1"/>
    <col min="22" max="16384" width="8.88671875" style="2"/>
  </cols>
  <sheetData>
    <row r="2" spans="1:21" s="3" customFormat="1" ht="16.95" customHeight="1" x14ac:dyDescent="0.3">
      <c r="A2" s="208" t="s">
        <v>217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1" s="3" customFormat="1" ht="16.95" customHeight="1" x14ac:dyDescent="0.3">
      <c r="A3" s="208" t="s">
        <v>215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1" ht="16.95" customHeight="1" x14ac:dyDescent="0.2">
      <c r="A4" s="44" t="s">
        <v>0</v>
      </c>
      <c r="B4" s="45" t="s">
        <v>1</v>
      </c>
      <c r="C4" s="46" t="s">
        <v>4</v>
      </c>
      <c r="D4" s="45" t="s">
        <v>5</v>
      </c>
      <c r="E4" s="45" t="s">
        <v>6</v>
      </c>
      <c r="F4" s="46" t="s">
        <v>7</v>
      </c>
      <c r="G4" s="47" t="s">
        <v>8</v>
      </c>
      <c r="H4" s="48" t="s">
        <v>9</v>
      </c>
      <c r="I4" s="45" t="s">
        <v>10</v>
      </c>
      <c r="J4" s="45" t="s">
        <v>11</v>
      </c>
      <c r="K4" s="46" t="s">
        <v>12</v>
      </c>
      <c r="L4" s="45" t="s">
        <v>34</v>
      </c>
      <c r="M4" s="45" t="s">
        <v>37</v>
      </c>
      <c r="N4" s="49" t="s">
        <v>38</v>
      </c>
      <c r="O4" s="50" t="s">
        <v>39</v>
      </c>
      <c r="P4" s="51" t="s">
        <v>40</v>
      </c>
      <c r="Q4" s="52" t="s">
        <v>41</v>
      </c>
      <c r="R4" s="49" t="s">
        <v>42</v>
      </c>
      <c r="S4" s="49" t="s">
        <v>43</v>
      </c>
      <c r="T4" s="50" t="s">
        <v>44</v>
      </c>
      <c r="U4" s="53" t="s">
        <v>45</v>
      </c>
    </row>
    <row r="5" spans="1:21" ht="16.95" customHeight="1" x14ac:dyDescent="0.2">
      <c r="A5" s="54">
        <v>1</v>
      </c>
      <c r="B5" s="4" t="s">
        <v>2</v>
      </c>
      <c r="C5" s="5" t="s">
        <v>13</v>
      </c>
      <c r="D5" s="6" t="s">
        <v>14</v>
      </c>
      <c r="E5" s="7" t="s">
        <v>15</v>
      </c>
      <c r="F5" s="5" t="s">
        <v>16</v>
      </c>
      <c r="G5" s="8" t="s">
        <v>17</v>
      </c>
      <c r="H5" s="9">
        <f>J5/I5</f>
        <v>1.02</v>
      </c>
      <c r="I5" s="7">
        <v>1</v>
      </c>
      <c r="J5" s="7">
        <v>1.02</v>
      </c>
      <c r="K5" s="126" t="s">
        <v>18</v>
      </c>
      <c r="L5" s="7" t="s">
        <v>169</v>
      </c>
      <c r="M5" s="152">
        <v>1150</v>
      </c>
      <c r="N5" s="10">
        <f>M5*J5</f>
        <v>1173</v>
      </c>
      <c r="O5" s="11"/>
      <c r="P5" s="12"/>
      <c r="Q5" s="13"/>
      <c r="R5" s="10"/>
      <c r="S5" s="10"/>
      <c r="T5" s="11"/>
      <c r="U5" s="141"/>
    </row>
    <row r="6" spans="1:21" ht="16.95" customHeight="1" x14ac:dyDescent="0.2">
      <c r="A6" s="55"/>
      <c r="B6" s="14"/>
      <c r="C6" s="15"/>
      <c r="D6" s="14"/>
      <c r="E6" s="14"/>
      <c r="F6" s="15" t="s">
        <v>16</v>
      </c>
      <c r="G6" s="16" t="s">
        <v>19</v>
      </c>
      <c r="H6" s="17">
        <f>J6/I6</f>
        <v>9.7692307692307689E-2</v>
      </c>
      <c r="I6" s="14">
        <v>13</v>
      </c>
      <c r="J6" s="14">
        <v>1.27</v>
      </c>
      <c r="K6" s="22" t="s">
        <v>20</v>
      </c>
      <c r="L6" s="14" t="s">
        <v>170</v>
      </c>
      <c r="M6" s="153">
        <v>525</v>
      </c>
      <c r="N6" s="18">
        <f>M6*J6</f>
        <v>666.75</v>
      </c>
      <c r="O6" s="19"/>
      <c r="P6" s="20"/>
      <c r="Q6" s="21"/>
      <c r="R6" s="18"/>
      <c r="S6" s="18"/>
      <c r="T6" s="19"/>
      <c r="U6" s="142"/>
    </row>
    <row r="7" spans="1:21" ht="16.95" customHeight="1" x14ac:dyDescent="0.2">
      <c r="A7" s="56"/>
      <c r="B7" s="39"/>
      <c r="C7" s="57" t="s">
        <v>21</v>
      </c>
      <c r="D7" s="39"/>
      <c r="E7" s="39"/>
      <c r="F7" s="36" t="s">
        <v>22</v>
      </c>
      <c r="G7" s="37" t="s">
        <v>23</v>
      </c>
      <c r="H7" s="38">
        <f>J7/I7</f>
        <v>3.5000000000000003E-2</v>
      </c>
      <c r="I7" s="39">
        <v>30</v>
      </c>
      <c r="J7" s="39">
        <v>1.05</v>
      </c>
      <c r="K7" s="57" t="s">
        <v>24</v>
      </c>
      <c r="L7" s="39" t="s">
        <v>171</v>
      </c>
      <c r="M7" s="154">
        <v>325</v>
      </c>
      <c r="N7" s="40">
        <f>M7*J7</f>
        <v>341.25</v>
      </c>
      <c r="O7" s="41">
        <v>103.5</v>
      </c>
      <c r="P7" s="35">
        <v>6.85</v>
      </c>
      <c r="Q7" s="58">
        <v>6.1820000000000004</v>
      </c>
      <c r="R7" s="40">
        <f>Q7*O7</f>
        <v>639.83699999999999</v>
      </c>
      <c r="S7" s="40">
        <v>205</v>
      </c>
      <c r="T7" s="41">
        <f>19*3.34</f>
        <v>63.459999999999994</v>
      </c>
      <c r="U7" s="148">
        <f>Table1[[#This Row],[Cert Exp]]+Table1[[#This Row],[Labour]]+Table1[[#This Row],[Gold Total]]+N5+N6+Table1[[#This Row],[Diam Total]]</f>
        <v>3089.297</v>
      </c>
    </row>
    <row r="8" spans="1:21" ht="16.95" customHeight="1" x14ac:dyDescent="0.2">
      <c r="A8" s="59"/>
      <c r="B8" s="60"/>
      <c r="C8" s="61"/>
      <c r="D8" s="151"/>
      <c r="E8" s="60"/>
      <c r="F8" s="61"/>
      <c r="G8" s="61"/>
      <c r="H8" s="60"/>
      <c r="I8" s="60"/>
      <c r="J8" s="60"/>
      <c r="K8" s="127"/>
      <c r="L8" s="60"/>
      <c r="M8" s="155"/>
      <c r="N8" s="60"/>
      <c r="O8" s="60"/>
      <c r="P8" s="60"/>
      <c r="Q8" s="60"/>
      <c r="R8" s="60"/>
      <c r="S8" s="60"/>
      <c r="T8" s="60"/>
      <c r="U8" s="143"/>
    </row>
    <row r="9" spans="1:21" ht="16.95" customHeight="1" x14ac:dyDescent="0.2">
      <c r="A9" s="62">
        <v>2</v>
      </c>
      <c r="B9" s="63" t="s">
        <v>3</v>
      </c>
      <c r="C9" s="64" t="s">
        <v>25</v>
      </c>
      <c r="D9" s="6" t="s">
        <v>14</v>
      </c>
      <c r="E9" s="5" t="s">
        <v>26</v>
      </c>
      <c r="F9" s="64" t="s">
        <v>27</v>
      </c>
      <c r="G9" s="65" t="s">
        <v>17</v>
      </c>
      <c r="H9" s="9">
        <f>J9/I9</f>
        <v>1.01</v>
      </c>
      <c r="I9" s="4">
        <v>1</v>
      </c>
      <c r="J9" s="12">
        <v>1.01</v>
      </c>
      <c r="K9" s="128" t="s">
        <v>28</v>
      </c>
      <c r="L9" s="4" t="s">
        <v>172</v>
      </c>
      <c r="M9" s="152">
        <v>1425</v>
      </c>
      <c r="N9" s="10">
        <f>M9*J9</f>
        <v>1439.25</v>
      </c>
      <c r="O9" s="66"/>
      <c r="P9" s="67"/>
      <c r="Q9" s="68"/>
      <c r="R9" s="69"/>
      <c r="S9" s="69"/>
      <c r="T9" s="66"/>
      <c r="U9" s="141"/>
    </row>
    <row r="10" spans="1:21" ht="16.95" customHeight="1" x14ac:dyDescent="0.2">
      <c r="A10" s="70"/>
      <c r="B10" s="26"/>
      <c r="C10" s="23"/>
      <c r="D10" s="31"/>
      <c r="E10" s="15"/>
      <c r="F10" s="23" t="s">
        <v>27</v>
      </c>
      <c r="G10" s="25" t="s">
        <v>29</v>
      </c>
      <c r="H10" s="17">
        <f>J10/I10</f>
        <v>5.7619047619047618E-2</v>
      </c>
      <c r="I10" s="26">
        <v>21</v>
      </c>
      <c r="J10" s="20">
        <v>1.21</v>
      </c>
      <c r="K10" s="129" t="s">
        <v>30</v>
      </c>
      <c r="L10" s="26" t="s">
        <v>173</v>
      </c>
      <c r="M10" s="153">
        <v>375</v>
      </c>
      <c r="N10" s="18">
        <f>M10*J10</f>
        <v>453.75</v>
      </c>
      <c r="O10" s="27"/>
      <c r="P10" s="28"/>
      <c r="Q10" s="29"/>
      <c r="R10" s="30"/>
      <c r="S10" s="30"/>
      <c r="T10" s="27"/>
      <c r="U10" s="142"/>
    </row>
    <row r="11" spans="1:21" ht="16.95" customHeight="1" x14ac:dyDescent="0.2">
      <c r="A11" s="71"/>
      <c r="B11" s="72"/>
      <c r="C11" s="73" t="s">
        <v>31</v>
      </c>
      <c r="D11" s="74"/>
      <c r="E11" s="36"/>
      <c r="F11" s="75" t="s">
        <v>32</v>
      </c>
      <c r="G11" s="76" t="s">
        <v>19</v>
      </c>
      <c r="H11" s="38">
        <f>J11/I11</f>
        <v>0.1145</v>
      </c>
      <c r="I11" s="72">
        <v>20</v>
      </c>
      <c r="J11" s="35">
        <v>2.29</v>
      </c>
      <c r="K11" s="130" t="s">
        <v>33</v>
      </c>
      <c r="L11" s="72" t="s">
        <v>174</v>
      </c>
      <c r="M11" s="154">
        <v>625</v>
      </c>
      <c r="N11" s="40">
        <f>M11*J11</f>
        <v>1431.25</v>
      </c>
      <c r="O11" s="41">
        <v>103.5</v>
      </c>
      <c r="P11" s="77">
        <v>7.31</v>
      </c>
      <c r="Q11" s="78">
        <v>6.4279999999999999</v>
      </c>
      <c r="R11" s="40">
        <f>Q11*O11</f>
        <v>665.298</v>
      </c>
      <c r="S11" s="40">
        <v>205</v>
      </c>
      <c r="T11" s="79">
        <f>19*4.51</f>
        <v>85.69</v>
      </c>
      <c r="U11" s="148">
        <f>Table1[[#This Row],[Cert Exp]]+Table1[[#This Row],[Labour]]+Table1[[#This Row],[Gold Total]]+N9+N10+Table1[[#This Row],[Diam Total]]</f>
        <v>4280.2380000000003</v>
      </c>
    </row>
    <row r="12" spans="1:21" ht="16.95" customHeight="1" x14ac:dyDescent="0.2">
      <c r="A12" s="59"/>
      <c r="B12" s="60"/>
      <c r="C12" s="61"/>
      <c r="D12" s="151"/>
      <c r="E12" s="60"/>
      <c r="F12" s="61"/>
      <c r="G12" s="61"/>
      <c r="H12" s="60"/>
      <c r="I12" s="60"/>
      <c r="J12" s="60"/>
      <c r="K12" s="127"/>
      <c r="L12" s="60"/>
      <c r="M12" s="155"/>
      <c r="N12" s="60"/>
      <c r="O12" s="60"/>
      <c r="P12" s="60"/>
      <c r="Q12" s="60"/>
      <c r="R12" s="60"/>
      <c r="S12" s="60"/>
      <c r="T12" s="60"/>
      <c r="U12" s="143"/>
    </row>
    <row r="13" spans="1:21" ht="16.95" customHeight="1" x14ac:dyDescent="0.2">
      <c r="A13" s="54">
        <v>3</v>
      </c>
      <c r="B13" s="4" t="s">
        <v>2</v>
      </c>
      <c r="C13" s="5" t="s">
        <v>47</v>
      </c>
      <c r="D13" s="6" t="s">
        <v>14</v>
      </c>
      <c r="E13" s="7" t="s">
        <v>48</v>
      </c>
      <c r="F13" s="5" t="s">
        <v>27</v>
      </c>
      <c r="G13" s="8" t="s">
        <v>17</v>
      </c>
      <c r="H13" s="9">
        <f>J13/I13</f>
        <v>1</v>
      </c>
      <c r="I13" s="7">
        <v>1</v>
      </c>
      <c r="J13" s="12">
        <v>1</v>
      </c>
      <c r="K13" s="126" t="s">
        <v>28</v>
      </c>
      <c r="L13" s="7" t="s">
        <v>172</v>
      </c>
      <c r="M13" s="152">
        <v>1425</v>
      </c>
      <c r="N13" s="10">
        <f>M13*J13</f>
        <v>1425</v>
      </c>
      <c r="O13" s="11"/>
      <c r="P13" s="12"/>
      <c r="Q13" s="80"/>
      <c r="R13" s="10"/>
      <c r="S13" s="10"/>
      <c r="T13" s="11"/>
      <c r="U13" s="141"/>
    </row>
    <row r="14" spans="1:21" ht="16.95" customHeight="1" x14ac:dyDescent="0.2">
      <c r="A14" s="55"/>
      <c r="B14" s="14"/>
      <c r="C14" s="15"/>
      <c r="D14" s="14"/>
      <c r="E14" s="14"/>
      <c r="F14" s="15" t="s">
        <v>27</v>
      </c>
      <c r="G14" s="16" t="s">
        <v>23</v>
      </c>
      <c r="H14" s="17">
        <f>J14/I14</f>
        <v>3.6296296296296299E-2</v>
      </c>
      <c r="I14" s="14">
        <v>27</v>
      </c>
      <c r="J14" s="14">
        <v>0.98</v>
      </c>
      <c r="K14" s="22" t="s">
        <v>20</v>
      </c>
      <c r="L14" s="14" t="s">
        <v>171</v>
      </c>
      <c r="M14" s="153">
        <v>325</v>
      </c>
      <c r="N14" s="18">
        <f>M14*J14</f>
        <v>318.5</v>
      </c>
      <c r="O14" s="19"/>
      <c r="P14" s="20"/>
      <c r="Q14" s="32"/>
      <c r="R14" s="18"/>
      <c r="S14" s="18"/>
      <c r="T14" s="19"/>
      <c r="U14" s="142"/>
    </row>
    <row r="15" spans="1:21" ht="16.95" customHeight="1" x14ac:dyDescent="0.2">
      <c r="A15" s="56"/>
      <c r="B15" s="39"/>
      <c r="C15" s="57" t="s">
        <v>49</v>
      </c>
      <c r="D15" s="39"/>
      <c r="E15" s="39"/>
      <c r="F15" s="36" t="s">
        <v>16</v>
      </c>
      <c r="G15" s="37" t="s">
        <v>19</v>
      </c>
      <c r="H15" s="38">
        <f>J15/I15</f>
        <v>9.857142857142856E-2</v>
      </c>
      <c r="I15" s="39">
        <v>28</v>
      </c>
      <c r="J15" s="39">
        <v>2.76</v>
      </c>
      <c r="K15" s="57" t="s">
        <v>20</v>
      </c>
      <c r="L15" s="39" t="s">
        <v>170</v>
      </c>
      <c r="M15" s="154">
        <v>525</v>
      </c>
      <c r="N15" s="40">
        <f>M15*J15</f>
        <v>1449</v>
      </c>
      <c r="O15" s="41">
        <v>103.5</v>
      </c>
      <c r="P15" s="35">
        <v>8.9499999999999993</v>
      </c>
      <c r="Q15" s="42">
        <v>8.0020000000000007</v>
      </c>
      <c r="R15" s="40">
        <f>Q15*O15</f>
        <v>828.20700000000011</v>
      </c>
      <c r="S15" s="40">
        <v>215</v>
      </c>
      <c r="T15" s="41">
        <f>19*4.74</f>
        <v>90.06</v>
      </c>
      <c r="U15" s="148">
        <f>Table1[[#This Row],[Cert Exp]]+Table1[[#This Row],[Labour]]+Table1[[#This Row],[Gold Total]]+N13+N14+Table1[[#This Row],[Diam Total]]</f>
        <v>4325.7669999999998</v>
      </c>
    </row>
    <row r="16" spans="1:21" ht="16.95" customHeight="1" x14ac:dyDescent="0.2">
      <c r="A16" s="81"/>
      <c r="B16" s="82"/>
      <c r="C16" s="83"/>
      <c r="D16" s="82"/>
      <c r="E16" s="84"/>
      <c r="F16" s="85"/>
      <c r="G16" s="86"/>
      <c r="H16" s="87"/>
      <c r="I16" s="82"/>
      <c r="J16" s="84"/>
      <c r="K16" s="131"/>
      <c r="L16" s="82"/>
      <c r="M16" s="156"/>
      <c r="N16" s="88"/>
      <c r="O16" s="89"/>
      <c r="P16" s="90"/>
      <c r="Q16" s="91"/>
      <c r="R16" s="88"/>
      <c r="S16" s="88"/>
      <c r="T16" s="89"/>
      <c r="U16" s="144"/>
    </row>
    <row r="17" spans="1:21" ht="16.95" customHeight="1" x14ac:dyDescent="0.2">
      <c r="A17" s="54">
        <v>4</v>
      </c>
      <c r="B17" s="63" t="s">
        <v>46</v>
      </c>
      <c r="C17" s="5" t="s">
        <v>50</v>
      </c>
      <c r="D17" s="6" t="s">
        <v>14</v>
      </c>
      <c r="E17" s="5" t="s">
        <v>51</v>
      </c>
      <c r="F17" s="5" t="s">
        <v>27</v>
      </c>
      <c r="G17" s="8" t="s">
        <v>17</v>
      </c>
      <c r="H17" s="9">
        <f>J17/I17</f>
        <v>1.01</v>
      </c>
      <c r="I17" s="7">
        <v>1</v>
      </c>
      <c r="J17" s="7">
        <v>1.01</v>
      </c>
      <c r="K17" s="132" t="s">
        <v>52</v>
      </c>
      <c r="L17" s="7" t="s">
        <v>172</v>
      </c>
      <c r="M17" s="152">
        <v>1425</v>
      </c>
      <c r="N17" s="10">
        <f>M17*J17</f>
        <v>1439.25</v>
      </c>
      <c r="O17" s="11"/>
      <c r="P17" s="12"/>
      <c r="Q17" s="13"/>
      <c r="R17" s="10"/>
      <c r="S17" s="10"/>
      <c r="T17" s="11"/>
      <c r="U17" s="141"/>
    </row>
    <row r="18" spans="1:21" ht="16.95" customHeight="1" x14ac:dyDescent="0.2">
      <c r="A18" s="55"/>
      <c r="B18" s="14"/>
      <c r="C18" s="15"/>
      <c r="D18" s="14"/>
      <c r="E18" s="15"/>
      <c r="F18" s="15" t="s">
        <v>27</v>
      </c>
      <c r="G18" s="16" t="s">
        <v>53</v>
      </c>
      <c r="H18" s="17">
        <f>J18/I18</f>
        <v>0.1275</v>
      </c>
      <c r="I18" s="14">
        <v>20</v>
      </c>
      <c r="J18" s="14">
        <v>2.5500000000000003</v>
      </c>
      <c r="K18" s="133" t="s">
        <v>52</v>
      </c>
      <c r="L18" s="14" t="s">
        <v>175</v>
      </c>
      <c r="M18" s="153">
        <v>475</v>
      </c>
      <c r="N18" s="18">
        <f>M18*J18</f>
        <v>1211.2500000000002</v>
      </c>
      <c r="O18" s="19"/>
      <c r="P18" s="20"/>
      <c r="Q18" s="21"/>
      <c r="R18" s="18"/>
      <c r="S18" s="18"/>
      <c r="T18" s="19"/>
      <c r="U18" s="142"/>
    </row>
    <row r="19" spans="1:21" ht="16.95" customHeight="1" x14ac:dyDescent="0.2">
      <c r="A19" s="56"/>
      <c r="B19" s="39"/>
      <c r="C19" s="57" t="s">
        <v>54</v>
      </c>
      <c r="D19" s="39"/>
      <c r="E19" s="36"/>
      <c r="F19" s="36" t="s">
        <v>27</v>
      </c>
      <c r="G19" s="37" t="s">
        <v>55</v>
      </c>
      <c r="H19" s="38">
        <f>J19/I19</f>
        <v>3.8421052631578946E-2</v>
      </c>
      <c r="I19" s="39">
        <v>38</v>
      </c>
      <c r="J19" s="39">
        <v>1.46</v>
      </c>
      <c r="K19" s="134" t="s">
        <v>56</v>
      </c>
      <c r="L19" s="39" t="s">
        <v>173</v>
      </c>
      <c r="M19" s="154">
        <v>375</v>
      </c>
      <c r="N19" s="40">
        <f>M19*J19</f>
        <v>547.5</v>
      </c>
      <c r="O19" s="41">
        <v>103.5</v>
      </c>
      <c r="P19" s="35">
        <v>9.32</v>
      </c>
      <c r="Q19" s="42">
        <v>8.3160000000000007</v>
      </c>
      <c r="R19" s="40">
        <f>Q19*O19</f>
        <v>860.70600000000013</v>
      </c>
      <c r="S19" s="40">
        <v>215</v>
      </c>
      <c r="T19" s="41">
        <f>19*5.02</f>
        <v>95.38</v>
      </c>
      <c r="U19" s="148">
        <f>Table1[[#This Row],[Cert Exp]]+Table1[[#This Row],[Labour]]+Table1[[#This Row],[Gold Total]]+N17+N18+Table1[[#This Row],[Diam Total]]</f>
        <v>4369.0860000000002</v>
      </c>
    </row>
    <row r="20" spans="1:21" ht="16.95" customHeight="1" x14ac:dyDescent="0.2">
      <c r="A20" s="81"/>
      <c r="B20" s="82"/>
      <c r="C20" s="83"/>
      <c r="D20" s="84"/>
      <c r="E20" s="83"/>
      <c r="F20" s="83"/>
      <c r="G20" s="86"/>
      <c r="H20" s="92"/>
      <c r="I20" s="82"/>
      <c r="J20" s="90"/>
      <c r="K20" s="131"/>
      <c r="L20" s="82"/>
      <c r="M20" s="156"/>
      <c r="N20" s="93"/>
      <c r="O20" s="94"/>
      <c r="P20" s="87"/>
      <c r="Q20" s="95"/>
      <c r="R20" s="93"/>
      <c r="S20" s="88"/>
      <c r="T20" s="89"/>
      <c r="U20" s="144"/>
    </row>
    <row r="21" spans="1:21" ht="16.95" customHeight="1" x14ac:dyDescent="0.2">
      <c r="A21" s="62">
        <v>5</v>
      </c>
      <c r="B21" s="63" t="s">
        <v>3</v>
      </c>
      <c r="C21" s="64" t="s">
        <v>57</v>
      </c>
      <c r="D21" s="6" t="s">
        <v>14</v>
      </c>
      <c r="E21" s="5" t="s">
        <v>58</v>
      </c>
      <c r="F21" s="64" t="s">
        <v>27</v>
      </c>
      <c r="G21" s="65" t="s">
        <v>17</v>
      </c>
      <c r="H21" s="9">
        <f>J21/I21</f>
        <v>1</v>
      </c>
      <c r="I21" s="4">
        <v>1</v>
      </c>
      <c r="J21" s="12">
        <v>1</v>
      </c>
      <c r="K21" s="128" t="s">
        <v>59</v>
      </c>
      <c r="L21" s="4" t="s">
        <v>172</v>
      </c>
      <c r="M21" s="152">
        <v>1425</v>
      </c>
      <c r="N21" s="10">
        <f>M21*J21</f>
        <v>1425</v>
      </c>
      <c r="O21" s="66"/>
      <c r="P21" s="67"/>
      <c r="Q21" s="68"/>
      <c r="R21" s="69"/>
      <c r="S21" s="69"/>
      <c r="T21" s="66"/>
      <c r="U21" s="141"/>
    </row>
    <row r="22" spans="1:21" ht="16.95" customHeight="1" x14ac:dyDescent="0.2">
      <c r="A22" s="71"/>
      <c r="B22" s="72"/>
      <c r="C22" s="73" t="s">
        <v>60</v>
      </c>
      <c r="D22" s="74"/>
      <c r="E22" s="36"/>
      <c r="F22" s="75" t="s">
        <v>61</v>
      </c>
      <c r="G22" s="76" t="s">
        <v>19</v>
      </c>
      <c r="H22" s="38">
        <f>J22/I22</f>
        <v>0.1076</v>
      </c>
      <c r="I22" s="72">
        <v>50</v>
      </c>
      <c r="J22" s="35">
        <v>5.38</v>
      </c>
      <c r="K22" s="130" t="s">
        <v>62</v>
      </c>
      <c r="L22" s="72" t="s">
        <v>170</v>
      </c>
      <c r="M22" s="154">
        <v>525</v>
      </c>
      <c r="N22" s="40">
        <f>M22*J22</f>
        <v>2824.5</v>
      </c>
      <c r="O22" s="41">
        <v>103.5</v>
      </c>
      <c r="P22" s="77">
        <v>7.21</v>
      </c>
      <c r="Q22" s="78">
        <v>5.9340000000000002</v>
      </c>
      <c r="R22" s="40">
        <f>Q22*O22</f>
        <v>614.16899999999998</v>
      </c>
      <c r="S22" s="96">
        <v>205</v>
      </c>
      <c r="T22" s="79">
        <f>19*6.38</f>
        <v>121.22</v>
      </c>
      <c r="U22" s="148">
        <f>Table1[[#This Row],[Cert Exp]]+Table1[[#This Row],[Labour]]+Table1[[#This Row],[Gold Total]]+N21+Table1[[#This Row],[Diam Total]]</f>
        <v>5189.8890000000001</v>
      </c>
    </row>
    <row r="23" spans="1:21" ht="16.95" customHeight="1" x14ac:dyDescent="0.2">
      <c r="A23" s="81"/>
      <c r="B23" s="82"/>
      <c r="C23" s="85"/>
      <c r="D23" s="97"/>
      <c r="E23" s="83"/>
      <c r="F23" s="85"/>
      <c r="G23" s="86"/>
      <c r="H23" s="92"/>
      <c r="I23" s="82"/>
      <c r="J23" s="90"/>
      <c r="K23" s="131"/>
      <c r="L23" s="82"/>
      <c r="M23" s="156"/>
      <c r="N23" s="93"/>
      <c r="O23" s="94"/>
      <c r="P23" s="87"/>
      <c r="Q23" s="95"/>
      <c r="R23" s="93"/>
      <c r="S23" s="88"/>
      <c r="T23" s="89"/>
      <c r="U23" s="144"/>
    </row>
    <row r="24" spans="1:21" ht="16.95" customHeight="1" x14ac:dyDescent="0.2">
      <c r="A24" s="62">
        <v>6</v>
      </c>
      <c r="B24" s="4" t="s">
        <v>63</v>
      </c>
      <c r="C24" s="5" t="s">
        <v>64</v>
      </c>
      <c r="D24" s="6" t="s">
        <v>14</v>
      </c>
      <c r="E24" s="7" t="s">
        <v>65</v>
      </c>
      <c r="F24" s="64" t="s">
        <v>16</v>
      </c>
      <c r="G24" s="65" t="s">
        <v>17</v>
      </c>
      <c r="H24" s="9">
        <f>J24/I24</f>
        <v>1.0900000000000001</v>
      </c>
      <c r="I24" s="4">
        <v>1</v>
      </c>
      <c r="J24" s="7">
        <v>1.0900000000000001</v>
      </c>
      <c r="K24" s="128" t="s">
        <v>28</v>
      </c>
      <c r="L24" s="4" t="s">
        <v>169</v>
      </c>
      <c r="M24" s="152">
        <v>1250</v>
      </c>
      <c r="N24" s="10">
        <f>M24*J24</f>
        <v>1362.5</v>
      </c>
      <c r="O24" s="66"/>
      <c r="P24" s="12"/>
      <c r="Q24" s="80"/>
      <c r="R24" s="69"/>
      <c r="S24" s="69"/>
      <c r="T24" s="66"/>
      <c r="U24" s="141"/>
    </row>
    <row r="25" spans="1:21" ht="16.95" customHeight="1" x14ac:dyDescent="0.2">
      <c r="A25" s="71"/>
      <c r="B25" s="72"/>
      <c r="C25" s="57" t="s">
        <v>66</v>
      </c>
      <c r="D25" s="72"/>
      <c r="E25" s="39"/>
      <c r="F25" s="75" t="s">
        <v>61</v>
      </c>
      <c r="G25" s="76" t="s">
        <v>19</v>
      </c>
      <c r="H25" s="38">
        <f>J25/I25</f>
        <v>0.1024</v>
      </c>
      <c r="I25" s="72">
        <v>50</v>
      </c>
      <c r="J25" s="39">
        <v>5.12</v>
      </c>
      <c r="K25" s="130" t="s">
        <v>62</v>
      </c>
      <c r="L25" s="72" t="s">
        <v>176</v>
      </c>
      <c r="M25" s="154">
        <v>525</v>
      </c>
      <c r="N25" s="40">
        <f>M25*J25</f>
        <v>2688</v>
      </c>
      <c r="O25" s="41">
        <v>103.5</v>
      </c>
      <c r="P25" s="35">
        <v>10.06</v>
      </c>
      <c r="Q25" s="42">
        <v>8.82</v>
      </c>
      <c r="R25" s="40">
        <f>Q25*O25</f>
        <v>912.87</v>
      </c>
      <c r="S25" s="96">
        <v>215</v>
      </c>
      <c r="T25" s="79">
        <f>19*6.21</f>
        <v>117.99</v>
      </c>
      <c r="U25" s="148">
        <f>Table1[[#This Row],[Cert Exp]]+Table1[[#This Row],[Labour]]+Table1[[#This Row],[Gold Total]]+N24+Table1[[#This Row],[Diam Total]]</f>
        <v>5296.3600000000006</v>
      </c>
    </row>
    <row r="26" spans="1:21" ht="16.95" customHeight="1" x14ac:dyDescent="0.2">
      <c r="A26" s="81"/>
      <c r="B26" s="98"/>
      <c r="C26" s="83"/>
      <c r="D26" s="99"/>
      <c r="E26" s="100"/>
      <c r="F26" s="85"/>
      <c r="G26" s="86"/>
      <c r="H26" s="87"/>
      <c r="I26" s="82"/>
      <c r="J26" s="90"/>
      <c r="K26" s="131"/>
      <c r="L26" s="82"/>
      <c r="M26" s="156"/>
      <c r="N26" s="88"/>
      <c r="O26" s="89"/>
      <c r="P26" s="90"/>
      <c r="Q26" s="91"/>
      <c r="R26" s="88"/>
      <c r="S26" s="88"/>
      <c r="T26" s="89"/>
      <c r="U26" s="144"/>
    </row>
    <row r="27" spans="1:21" ht="16.95" customHeight="1" x14ac:dyDescent="0.2">
      <c r="A27" s="62">
        <v>7</v>
      </c>
      <c r="B27" s="4" t="s">
        <v>2</v>
      </c>
      <c r="C27" s="5" t="s">
        <v>67</v>
      </c>
      <c r="D27" s="6" t="s">
        <v>14</v>
      </c>
      <c r="E27" s="5" t="s">
        <v>68</v>
      </c>
      <c r="F27" s="64" t="s">
        <v>61</v>
      </c>
      <c r="G27" s="65" t="s">
        <v>69</v>
      </c>
      <c r="H27" s="9">
        <f>J27/I27</f>
        <v>0.23</v>
      </c>
      <c r="I27" s="4">
        <v>15</v>
      </c>
      <c r="J27" s="7">
        <v>3.45</v>
      </c>
      <c r="K27" s="128" t="s">
        <v>56</v>
      </c>
      <c r="L27" s="4" t="s">
        <v>177</v>
      </c>
      <c r="M27" s="152">
        <v>750</v>
      </c>
      <c r="N27" s="10">
        <f>M27*J27</f>
        <v>2587.5</v>
      </c>
      <c r="O27" s="66"/>
      <c r="P27" s="12"/>
      <c r="Q27" s="80"/>
      <c r="R27" s="69"/>
      <c r="S27" s="69"/>
      <c r="T27" s="66"/>
      <c r="U27" s="141"/>
    </row>
    <row r="28" spans="1:21" ht="16.95" customHeight="1" x14ac:dyDescent="0.2">
      <c r="A28" s="71"/>
      <c r="B28" s="72"/>
      <c r="C28" s="57" t="s">
        <v>70</v>
      </c>
      <c r="D28" s="72"/>
      <c r="E28" s="36"/>
      <c r="F28" s="75" t="s">
        <v>71</v>
      </c>
      <c r="G28" s="76" t="s">
        <v>19</v>
      </c>
      <c r="H28" s="38">
        <f>J28/I28</f>
        <v>0.10206896551724137</v>
      </c>
      <c r="I28" s="72">
        <v>29</v>
      </c>
      <c r="J28" s="39">
        <v>2.96</v>
      </c>
      <c r="K28" s="130" t="s">
        <v>72</v>
      </c>
      <c r="L28" s="72" t="s">
        <v>178</v>
      </c>
      <c r="M28" s="154">
        <v>550</v>
      </c>
      <c r="N28" s="40">
        <f>M28*J28</f>
        <v>1628</v>
      </c>
      <c r="O28" s="41">
        <v>103.5</v>
      </c>
      <c r="P28" s="35">
        <v>8.4</v>
      </c>
      <c r="Q28" s="42">
        <v>7.1180000000000003</v>
      </c>
      <c r="R28" s="40">
        <f>Q28*O28</f>
        <v>736.71300000000008</v>
      </c>
      <c r="S28" s="96">
        <v>215</v>
      </c>
      <c r="T28" s="79">
        <f>19*6.41</f>
        <v>121.79</v>
      </c>
      <c r="U28" s="148">
        <f>Table1[[#This Row],[Cert Exp]]+Table1[[#This Row],[Labour]]+Table1[[#This Row],[Gold Total]]+N27+Table1[[#This Row],[Diam Total]]</f>
        <v>5289.0030000000006</v>
      </c>
    </row>
    <row r="29" spans="1:21" ht="16.95" customHeight="1" x14ac:dyDescent="0.2">
      <c r="A29" s="59"/>
      <c r="B29" s="60"/>
      <c r="C29" s="61"/>
      <c r="D29" s="151"/>
      <c r="E29" s="61"/>
      <c r="F29" s="61"/>
      <c r="G29" s="61"/>
      <c r="H29" s="60"/>
      <c r="I29" s="60"/>
      <c r="J29" s="60"/>
      <c r="K29" s="127"/>
      <c r="L29" s="60"/>
      <c r="M29" s="155"/>
      <c r="N29" s="60"/>
      <c r="O29" s="60"/>
      <c r="P29" s="60"/>
      <c r="Q29" s="60"/>
      <c r="R29" s="60"/>
      <c r="S29" s="60"/>
      <c r="T29" s="60"/>
      <c r="U29" s="143"/>
    </row>
    <row r="30" spans="1:21" ht="16.95" customHeight="1" x14ac:dyDescent="0.2">
      <c r="A30" s="101">
        <v>8</v>
      </c>
      <c r="B30" s="102" t="s">
        <v>3</v>
      </c>
      <c r="C30" s="103" t="s">
        <v>73</v>
      </c>
      <c r="D30" s="104" t="s">
        <v>14</v>
      </c>
      <c r="E30" s="195" t="s">
        <v>74</v>
      </c>
      <c r="F30" s="103" t="s">
        <v>61</v>
      </c>
      <c r="G30" s="105" t="s">
        <v>75</v>
      </c>
      <c r="H30" s="106">
        <f>J30/I30</f>
        <v>0.1670731707317073</v>
      </c>
      <c r="I30" s="107">
        <v>41</v>
      </c>
      <c r="J30" s="108">
        <v>6.85</v>
      </c>
      <c r="K30" s="135" t="s">
        <v>20</v>
      </c>
      <c r="L30" s="107" t="s">
        <v>179</v>
      </c>
      <c r="M30" s="157">
        <v>550</v>
      </c>
      <c r="N30" s="109">
        <f>M30*J30</f>
        <v>3767.5</v>
      </c>
      <c r="O30" s="110">
        <v>103.5</v>
      </c>
      <c r="P30" s="111">
        <v>9.75</v>
      </c>
      <c r="Q30" s="112">
        <v>8.3800000000000008</v>
      </c>
      <c r="R30" s="109">
        <f>Q30*O30</f>
        <v>867.33</v>
      </c>
      <c r="S30" s="113">
        <v>205</v>
      </c>
      <c r="T30" s="114">
        <f>19*J30</f>
        <v>130.15</v>
      </c>
      <c r="U30" s="149">
        <f>Table1[[#This Row],[Cert Exp]]+Table1[[#This Row],[Labour]]+Table1[[#This Row],[Gold Total]]+Table1[[#This Row],[Diam Total]]</f>
        <v>4969.9799999999996</v>
      </c>
    </row>
    <row r="31" spans="1:21" ht="16.95" customHeight="1" x14ac:dyDescent="0.2">
      <c r="A31" s="59"/>
      <c r="B31" s="60"/>
      <c r="C31" s="61"/>
      <c r="D31" s="151"/>
      <c r="E31" s="60"/>
      <c r="F31" s="61"/>
      <c r="G31" s="61"/>
      <c r="H31" s="60"/>
      <c r="I31" s="60"/>
      <c r="J31" s="60"/>
      <c r="K31" s="127"/>
      <c r="L31" s="60"/>
      <c r="M31" s="155"/>
      <c r="N31" s="60"/>
      <c r="O31" s="60"/>
      <c r="P31" s="60"/>
      <c r="Q31" s="60"/>
      <c r="R31" s="60"/>
      <c r="S31" s="60"/>
      <c r="T31" s="60"/>
      <c r="U31" s="143"/>
    </row>
    <row r="32" spans="1:21" ht="16.95" customHeight="1" x14ac:dyDescent="0.2">
      <c r="A32" s="62">
        <v>9</v>
      </c>
      <c r="B32" s="63" t="s">
        <v>3</v>
      </c>
      <c r="C32" s="64" t="s">
        <v>76</v>
      </c>
      <c r="D32" s="6" t="s">
        <v>14</v>
      </c>
      <c r="E32" s="5" t="s">
        <v>77</v>
      </c>
      <c r="F32" s="64" t="s">
        <v>61</v>
      </c>
      <c r="G32" s="65" t="s">
        <v>78</v>
      </c>
      <c r="H32" s="9">
        <f>J32/I32</f>
        <v>0.20333333333333334</v>
      </c>
      <c r="I32" s="4">
        <v>18</v>
      </c>
      <c r="J32" s="12">
        <v>3.66</v>
      </c>
      <c r="K32" s="128" t="s">
        <v>62</v>
      </c>
      <c r="L32" s="4" t="s">
        <v>174</v>
      </c>
      <c r="M32" s="152">
        <v>625</v>
      </c>
      <c r="N32" s="10">
        <f>M32*J32</f>
        <v>2287.5</v>
      </c>
      <c r="O32" s="66"/>
      <c r="P32" s="67"/>
      <c r="Q32" s="68"/>
      <c r="R32" s="69"/>
      <c r="S32" s="69"/>
      <c r="T32" s="66"/>
      <c r="U32" s="141"/>
    </row>
    <row r="33" spans="1:21" ht="16.95" customHeight="1" x14ac:dyDescent="0.2">
      <c r="A33" s="71"/>
      <c r="B33" s="72"/>
      <c r="C33" s="73" t="s">
        <v>79</v>
      </c>
      <c r="D33" s="74"/>
      <c r="E33" s="36"/>
      <c r="F33" s="75" t="s">
        <v>27</v>
      </c>
      <c r="G33" s="76" t="s">
        <v>80</v>
      </c>
      <c r="H33" s="38">
        <f>J33/I33</f>
        <v>8.5000000000000006E-2</v>
      </c>
      <c r="I33" s="72">
        <v>36</v>
      </c>
      <c r="J33" s="35">
        <v>3.06</v>
      </c>
      <c r="K33" s="130" t="s">
        <v>20</v>
      </c>
      <c r="L33" s="72" t="s">
        <v>180</v>
      </c>
      <c r="M33" s="154">
        <v>475</v>
      </c>
      <c r="N33" s="40">
        <f>M33*J33</f>
        <v>1453.5</v>
      </c>
      <c r="O33" s="41">
        <v>103.5</v>
      </c>
      <c r="P33" s="77">
        <v>11.38</v>
      </c>
      <c r="Q33" s="78">
        <v>10.036</v>
      </c>
      <c r="R33" s="40">
        <f>Q33*O33</f>
        <v>1038.7259999999999</v>
      </c>
      <c r="S33" s="96">
        <v>225</v>
      </c>
      <c r="T33" s="79">
        <f>19*6.72</f>
        <v>127.67999999999999</v>
      </c>
      <c r="U33" s="148">
        <f>Table1[[#This Row],[Cert Exp]]+Table1[[#This Row],[Labour]]+Table1[[#This Row],[Gold Total]]+N32+Table1[[#This Row],[Diam Total]]</f>
        <v>5132.4059999999999</v>
      </c>
    </row>
    <row r="34" spans="1:21" ht="16.95" customHeight="1" x14ac:dyDescent="0.2">
      <c r="A34" s="81"/>
      <c r="B34" s="82"/>
      <c r="C34" s="85"/>
      <c r="D34" s="97"/>
      <c r="E34" s="83"/>
      <c r="F34" s="85"/>
      <c r="G34" s="86"/>
      <c r="H34" s="92"/>
      <c r="I34" s="82"/>
      <c r="J34" s="90"/>
      <c r="K34" s="131"/>
      <c r="L34" s="82"/>
      <c r="M34" s="156"/>
      <c r="N34" s="93"/>
      <c r="O34" s="89"/>
      <c r="P34" s="87"/>
      <c r="Q34" s="95"/>
      <c r="R34" s="88"/>
      <c r="S34" s="88"/>
      <c r="T34" s="89"/>
      <c r="U34" s="144"/>
    </row>
    <row r="35" spans="1:21" ht="16.95" customHeight="1" x14ac:dyDescent="0.2">
      <c r="A35" s="62">
        <v>10</v>
      </c>
      <c r="B35" s="63" t="s">
        <v>3</v>
      </c>
      <c r="C35" s="64" t="s">
        <v>83</v>
      </c>
      <c r="D35" s="6" t="s">
        <v>14</v>
      </c>
      <c r="E35" s="5" t="s">
        <v>84</v>
      </c>
      <c r="F35" s="64" t="s">
        <v>61</v>
      </c>
      <c r="G35" s="65" t="s">
        <v>78</v>
      </c>
      <c r="H35" s="9">
        <f>J35/I35</f>
        <v>0.1990909090909091</v>
      </c>
      <c r="I35" s="4">
        <v>22</v>
      </c>
      <c r="J35" s="12">
        <v>4.38</v>
      </c>
      <c r="K35" s="128" t="s">
        <v>62</v>
      </c>
      <c r="L35" s="4" t="s">
        <v>174</v>
      </c>
      <c r="M35" s="152">
        <v>625</v>
      </c>
      <c r="N35" s="10">
        <f>M35*J35</f>
        <v>2737.5</v>
      </c>
      <c r="O35" s="66"/>
      <c r="P35" s="67"/>
      <c r="Q35" s="68"/>
      <c r="R35" s="69"/>
      <c r="S35" s="69"/>
      <c r="T35" s="66"/>
      <c r="U35" s="141"/>
    </row>
    <row r="36" spans="1:21" ht="16.95" customHeight="1" x14ac:dyDescent="0.2">
      <c r="A36" s="71"/>
      <c r="B36" s="72"/>
      <c r="C36" s="73" t="s">
        <v>85</v>
      </c>
      <c r="D36" s="74"/>
      <c r="E36" s="36"/>
      <c r="F36" s="75" t="s">
        <v>16</v>
      </c>
      <c r="G36" s="76" t="s">
        <v>75</v>
      </c>
      <c r="H36" s="38">
        <f>J36/I36</f>
        <v>0.15727272727272726</v>
      </c>
      <c r="I36" s="72">
        <v>22</v>
      </c>
      <c r="J36" s="35">
        <v>3.46</v>
      </c>
      <c r="K36" s="130" t="s">
        <v>62</v>
      </c>
      <c r="L36" s="72" t="s">
        <v>179</v>
      </c>
      <c r="M36" s="154">
        <v>575</v>
      </c>
      <c r="N36" s="40">
        <f>M36*J36</f>
        <v>1989.5</v>
      </c>
      <c r="O36" s="41">
        <v>103.5</v>
      </c>
      <c r="P36" s="77">
        <v>8.69</v>
      </c>
      <c r="Q36" s="78">
        <v>7.1219999999999999</v>
      </c>
      <c r="R36" s="40">
        <f>Q36*O36</f>
        <v>737.12699999999995</v>
      </c>
      <c r="S36" s="96">
        <v>205</v>
      </c>
      <c r="T36" s="79">
        <f>19*7.84</f>
        <v>148.96</v>
      </c>
      <c r="U36" s="148">
        <f>Table1[[#This Row],[Cert Exp]]+Table1[[#This Row],[Labour]]+Table1[[#This Row],[Gold Total]]+N35+Table1[[#This Row],[Diam Total]]</f>
        <v>5818.0869999999995</v>
      </c>
    </row>
    <row r="37" spans="1:21" ht="16.95" customHeight="1" x14ac:dyDescent="0.2">
      <c r="A37" s="81"/>
      <c r="B37" s="82"/>
      <c r="C37" s="85"/>
      <c r="D37" s="97"/>
      <c r="E37" s="83"/>
      <c r="F37" s="85"/>
      <c r="G37" s="86"/>
      <c r="H37" s="92"/>
      <c r="I37" s="82"/>
      <c r="J37" s="90"/>
      <c r="K37" s="131"/>
      <c r="L37" s="82"/>
      <c r="M37" s="156"/>
      <c r="N37" s="93"/>
      <c r="O37" s="89"/>
      <c r="P37" s="87"/>
      <c r="Q37" s="95"/>
      <c r="R37" s="88"/>
      <c r="S37" s="88"/>
      <c r="T37" s="89"/>
      <c r="U37" s="144"/>
    </row>
    <row r="38" spans="1:21" ht="16.95" customHeight="1" x14ac:dyDescent="0.2">
      <c r="A38" s="62">
        <v>11</v>
      </c>
      <c r="B38" s="63" t="s">
        <v>3</v>
      </c>
      <c r="C38" s="64" t="s">
        <v>76</v>
      </c>
      <c r="D38" s="6" t="s">
        <v>14</v>
      </c>
      <c r="E38" s="5" t="s">
        <v>86</v>
      </c>
      <c r="F38" s="64" t="s">
        <v>61</v>
      </c>
      <c r="G38" s="65" t="s">
        <v>78</v>
      </c>
      <c r="H38" s="9">
        <f>J38/I38</f>
        <v>0.20791666666666667</v>
      </c>
      <c r="I38" s="4">
        <v>24</v>
      </c>
      <c r="J38" s="12">
        <v>4.99</v>
      </c>
      <c r="K38" s="128" t="s">
        <v>62</v>
      </c>
      <c r="L38" s="4" t="s">
        <v>174</v>
      </c>
      <c r="M38" s="152">
        <v>625</v>
      </c>
      <c r="N38" s="10">
        <f>M38*J38</f>
        <v>3118.75</v>
      </c>
      <c r="O38" s="66"/>
      <c r="P38" s="67"/>
      <c r="Q38" s="68"/>
      <c r="R38" s="69"/>
      <c r="S38" s="69"/>
      <c r="T38" s="66"/>
      <c r="U38" s="141"/>
    </row>
    <row r="39" spans="1:21" ht="16.95" customHeight="1" x14ac:dyDescent="0.2">
      <c r="A39" s="71"/>
      <c r="B39" s="72"/>
      <c r="C39" s="73" t="s">
        <v>87</v>
      </c>
      <c r="D39" s="74"/>
      <c r="E39" s="36"/>
      <c r="F39" s="75" t="s">
        <v>27</v>
      </c>
      <c r="G39" s="76" t="s">
        <v>88</v>
      </c>
      <c r="H39" s="38">
        <f>J39/I39</f>
        <v>9.1666666666666674E-2</v>
      </c>
      <c r="I39" s="72">
        <v>24</v>
      </c>
      <c r="J39" s="35">
        <v>2.2000000000000002</v>
      </c>
      <c r="K39" s="130" t="s">
        <v>20</v>
      </c>
      <c r="L39" s="72" t="s">
        <v>180</v>
      </c>
      <c r="M39" s="154">
        <v>475</v>
      </c>
      <c r="N39" s="40">
        <f>M39*J39</f>
        <v>1045</v>
      </c>
      <c r="O39" s="41">
        <v>103.5</v>
      </c>
      <c r="P39" s="77">
        <v>8.66</v>
      </c>
      <c r="Q39" s="78">
        <v>7.2220000000000004</v>
      </c>
      <c r="R39" s="40">
        <f>Q39*O39</f>
        <v>747.47700000000009</v>
      </c>
      <c r="S39" s="96">
        <v>205</v>
      </c>
      <c r="T39" s="79">
        <f>19*7.19</f>
        <v>136.61000000000001</v>
      </c>
      <c r="U39" s="148">
        <f>Table1[[#This Row],[Cert Exp]]+Table1[[#This Row],[Labour]]+Table1[[#This Row],[Gold Total]]+N38+Table1[[#This Row],[Diam Total]]</f>
        <v>5252.8369999999995</v>
      </c>
    </row>
    <row r="40" spans="1:21" ht="16.95" customHeight="1" x14ac:dyDescent="0.2">
      <c r="A40" s="81"/>
      <c r="B40" s="82"/>
      <c r="C40" s="85"/>
      <c r="D40" s="97"/>
      <c r="E40" s="83"/>
      <c r="F40" s="85"/>
      <c r="G40" s="86"/>
      <c r="H40" s="92"/>
      <c r="I40" s="82"/>
      <c r="J40" s="90"/>
      <c r="K40" s="131"/>
      <c r="L40" s="82"/>
      <c r="M40" s="156"/>
      <c r="N40" s="93"/>
      <c r="O40" s="89"/>
      <c r="P40" s="87"/>
      <c r="Q40" s="95"/>
      <c r="R40" s="88"/>
      <c r="S40" s="88"/>
      <c r="T40" s="89"/>
      <c r="U40" s="144"/>
    </row>
    <row r="41" spans="1:21" ht="16.95" customHeight="1" x14ac:dyDescent="0.2">
      <c r="A41" s="62">
        <v>12</v>
      </c>
      <c r="B41" s="63" t="s">
        <v>3</v>
      </c>
      <c r="C41" s="5" t="s">
        <v>89</v>
      </c>
      <c r="D41" s="6" t="s">
        <v>14</v>
      </c>
      <c r="E41" s="5" t="s">
        <v>90</v>
      </c>
      <c r="F41" s="64" t="s">
        <v>61</v>
      </c>
      <c r="G41" s="65" t="s">
        <v>78</v>
      </c>
      <c r="H41" s="9">
        <f>J41/I41</f>
        <v>0.19760000000000003</v>
      </c>
      <c r="I41" s="4">
        <v>25</v>
      </c>
      <c r="J41" s="7">
        <v>4.9400000000000004</v>
      </c>
      <c r="K41" s="128" t="s">
        <v>62</v>
      </c>
      <c r="L41" s="4" t="s">
        <v>174</v>
      </c>
      <c r="M41" s="152">
        <v>625</v>
      </c>
      <c r="N41" s="10">
        <f>M41*J41</f>
        <v>3087.5000000000005</v>
      </c>
      <c r="O41" s="66"/>
      <c r="P41" s="12"/>
      <c r="Q41" s="80"/>
      <c r="R41" s="69"/>
      <c r="S41" s="69"/>
      <c r="T41" s="66"/>
      <c r="U41" s="141"/>
    </row>
    <row r="42" spans="1:21" ht="16.95" customHeight="1" x14ac:dyDescent="0.2">
      <c r="A42" s="71"/>
      <c r="B42" s="72"/>
      <c r="C42" s="57" t="s">
        <v>91</v>
      </c>
      <c r="D42" s="72"/>
      <c r="E42" s="36"/>
      <c r="F42" s="75" t="s">
        <v>16</v>
      </c>
      <c r="G42" s="76" t="s">
        <v>75</v>
      </c>
      <c r="H42" s="38">
        <f>J42/I42</f>
        <v>0.14833333333333334</v>
      </c>
      <c r="I42" s="72">
        <v>24</v>
      </c>
      <c r="J42" s="39">
        <v>3.56</v>
      </c>
      <c r="K42" s="136" t="s">
        <v>20</v>
      </c>
      <c r="L42" s="72" t="s">
        <v>179</v>
      </c>
      <c r="M42" s="154">
        <v>575</v>
      </c>
      <c r="N42" s="40">
        <f>M42*J42</f>
        <v>2047</v>
      </c>
      <c r="O42" s="41">
        <v>103.5</v>
      </c>
      <c r="P42" s="35">
        <v>12.27</v>
      </c>
      <c r="Q42" s="42">
        <v>10.57</v>
      </c>
      <c r="R42" s="40">
        <f>Q42*O42</f>
        <v>1093.9950000000001</v>
      </c>
      <c r="S42" s="96">
        <v>225</v>
      </c>
      <c r="T42" s="79">
        <f>19*8.5</f>
        <v>161.5</v>
      </c>
      <c r="U42" s="148">
        <f>Table1[[#This Row],[Cert Exp]]+Table1[[#This Row],[Labour]]+Table1[[#This Row],[Gold Total]]+N41+Table1[[#This Row],[Diam Total]]</f>
        <v>6614.9950000000008</v>
      </c>
    </row>
    <row r="43" spans="1:21" ht="16.95" customHeight="1" x14ac:dyDescent="0.2">
      <c r="A43" s="59"/>
      <c r="B43" s="60"/>
      <c r="C43" s="61"/>
      <c r="D43" s="151"/>
      <c r="E43" s="60"/>
      <c r="F43" s="61"/>
      <c r="G43" s="61"/>
      <c r="H43" s="60"/>
      <c r="I43" s="60"/>
      <c r="J43" s="60"/>
      <c r="K43" s="127"/>
      <c r="L43" s="60"/>
      <c r="M43" s="155"/>
      <c r="N43" s="60"/>
      <c r="O43" s="60"/>
      <c r="P43" s="60"/>
      <c r="Q43" s="60"/>
      <c r="R43" s="60"/>
      <c r="S43" s="60"/>
      <c r="T43" s="60"/>
      <c r="U43" s="143"/>
    </row>
    <row r="44" spans="1:21" ht="16.95" customHeight="1" x14ac:dyDescent="0.2">
      <c r="A44" s="62">
        <v>13</v>
      </c>
      <c r="B44" s="4" t="s">
        <v>2</v>
      </c>
      <c r="C44" s="5" t="s">
        <v>92</v>
      </c>
      <c r="D44" s="6" t="s">
        <v>14</v>
      </c>
      <c r="E44" s="5" t="s">
        <v>93</v>
      </c>
      <c r="F44" s="64" t="s">
        <v>16</v>
      </c>
      <c r="G44" s="65" t="s">
        <v>17</v>
      </c>
      <c r="H44" s="9">
        <f>J44/I44</f>
        <v>1.03</v>
      </c>
      <c r="I44" s="4">
        <v>1</v>
      </c>
      <c r="J44" s="7">
        <v>1.03</v>
      </c>
      <c r="K44" s="128" t="s">
        <v>94</v>
      </c>
      <c r="L44" s="4" t="s">
        <v>169</v>
      </c>
      <c r="M44" s="152">
        <v>1050</v>
      </c>
      <c r="N44" s="10">
        <f>M44*J44</f>
        <v>1081.5</v>
      </c>
      <c r="O44" s="66"/>
      <c r="P44" s="12"/>
      <c r="Q44" s="80"/>
      <c r="R44" s="69"/>
      <c r="S44" s="69"/>
      <c r="T44" s="66"/>
      <c r="U44" s="141"/>
    </row>
    <row r="45" spans="1:21" ht="16.95" customHeight="1" x14ac:dyDescent="0.2">
      <c r="A45" s="70"/>
      <c r="B45" s="26"/>
      <c r="C45" s="15"/>
      <c r="D45" s="26"/>
      <c r="E45" s="15"/>
      <c r="F45" s="23" t="s">
        <v>61</v>
      </c>
      <c r="G45" s="25" t="s">
        <v>19</v>
      </c>
      <c r="H45" s="17">
        <f>J45/I45</f>
        <v>0.12499999999999999</v>
      </c>
      <c r="I45" s="26">
        <v>16</v>
      </c>
      <c r="J45" s="20">
        <v>1.9999999999999998</v>
      </c>
      <c r="K45" s="129" t="s">
        <v>56</v>
      </c>
      <c r="L45" s="26" t="s">
        <v>176</v>
      </c>
      <c r="M45" s="153">
        <v>525</v>
      </c>
      <c r="N45" s="18">
        <f>M45*J45</f>
        <v>1049.9999999999998</v>
      </c>
      <c r="O45" s="27"/>
      <c r="P45" s="20"/>
      <c r="Q45" s="32"/>
      <c r="R45" s="30"/>
      <c r="S45" s="30"/>
      <c r="T45" s="27"/>
      <c r="U45" s="142"/>
    </row>
    <row r="46" spans="1:21" ht="16.95" customHeight="1" x14ac:dyDescent="0.2">
      <c r="A46" s="71"/>
      <c r="B46" s="72"/>
      <c r="C46" s="57" t="s">
        <v>95</v>
      </c>
      <c r="D46" s="72"/>
      <c r="E46" s="36"/>
      <c r="F46" s="75" t="s">
        <v>32</v>
      </c>
      <c r="G46" s="76" t="s">
        <v>19</v>
      </c>
      <c r="H46" s="38">
        <f>J46/I46</f>
        <v>0.1188235294117647</v>
      </c>
      <c r="I46" s="72">
        <v>17</v>
      </c>
      <c r="J46" s="39">
        <v>2.02</v>
      </c>
      <c r="K46" s="57" t="s">
        <v>24</v>
      </c>
      <c r="L46" s="72" t="s">
        <v>174</v>
      </c>
      <c r="M46" s="154">
        <v>575</v>
      </c>
      <c r="N46" s="40">
        <f>M46*J46</f>
        <v>1161.5</v>
      </c>
      <c r="O46" s="41">
        <v>103.5</v>
      </c>
      <c r="P46" s="35">
        <v>8.0399999999999991</v>
      </c>
      <c r="Q46" s="42">
        <v>7.03</v>
      </c>
      <c r="R46" s="40">
        <f>Q46*O46</f>
        <v>727.60500000000002</v>
      </c>
      <c r="S46" s="96">
        <v>205</v>
      </c>
      <c r="T46" s="79">
        <f>19*5.05</f>
        <v>95.95</v>
      </c>
      <c r="U46" s="148">
        <f>Table1[[#This Row],[Cert Exp]]+Table1[[#This Row],[Labour]]+Table1[[#This Row],[Gold Total]]+N44+N45+Table1[[#This Row],[Diam Total]]</f>
        <v>4321.5550000000003</v>
      </c>
    </row>
    <row r="47" spans="1:21" ht="16.95" customHeight="1" x14ac:dyDescent="0.2">
      <c r="A47" s="59"/>
      <c r="B47" s="60"/>
      <c r="C47" s="61"/>
      <c r="D47" s="151"/>
      <c r="E47" s="60"/>
      <c r="F47" s="61"/>
      <c r="G47" s="61"/>
      <c r="H47" s="60"/>
      <c r="I47" s="60"/>
      <c r="J47" s="60"/>
      <c r="K47" s="127"/>
      <c r="L47" s="60"/>
      <c r="M47" s="155"/>
      <c r="N47" s="60"/>
      <c r="O47" s="60"/>
      <c r="P47" s="60"/>
      <c r="Q47" s="60"/>
      <c r="R47" s="60"/>
      <c r="S47" s="60"/>
      <c r="T47" s="60"/>
      <c r="U47" s="143"/>
    </row>
    <row r="48" spans="1:21" ht="16.95" customHeight="1" x14ac:dyDescent="0.2">
      <c r="A48" s="62">
        <v>14</v>
      </c>
      <c r="B48" s="4"/>
      <c r="C48" s="5" t="s">
        <v>96</v>
      </c>
      <c r="D48" s="6" t="s">
        <v>14</v>
      </c>
      <c r="E48" s="5" t="s">
        <v>97</v>
      </c>
      <c r="F48" s="64" t="s">
        <v>98</v>
      </c>
      <c r="G48" s="65" t="s">
        <v>78</v>
      </c>
      <c r="H48" s="9">
        <f>J48/I48</f>
        <v>0.19928571428571429</v>
      </c>
      <c r="I48" s="4">
        <v>14</v>
      </c>
      <c r="J48" s="7">
        <v>2.79</v>
      </c>
      <c r="K48" s="137" t="s">
        <v>56</v>
      </c>
      <c r="L48" s="4" t="s">
        <v>181</v>
      </c>
      <c r="M48" s="152">
        <v>625</v>
      </c>
      <c r="N48" s="10">
        <f>M48*J48</f>
        <v>1743.75</v>
      </c>
      <c r="O48" s="66"/>
      <c r="P48" s="12"/>
      <c r="Q48" s="80"/>
      <c r="R48" s="69"/>
      <c r="S48" s="69"/>
      <c r="T48" s="66"/>
      <c r="U48" s="141"/>
    </row>
    <row r="49" spans="1:21" ht="16.95" customHeight="1" x14ac:dyDescent="0.2">
      <c r="A49" s="71"/>
      <c r="B49" s="72"/>
      <c r="C49" s="57" t="s">
        <v>99</v>
      </c>
      <c r="D49" s="72"/>
      <c r="E49" s="36"/>
      <c r="F49" s="75" t="s">
        <v>32</v>
      </c>
      <c r="G49" s="76" t="s">
        <v>78</v>
      </c>
      <c r="H49" s="38">
        <f>J49/I49</f>
        <v>0.19571428571428573</v>
      </c>
      <c r="I49" s="72">
        <v>14</v>
      </c>
      <c r="J49" s="39">
        <v>2.74</v>
      </c>
      <c r="K49" s="136" t="s">
        <v>20</v>
      </c>
      <c r="L49" s="72" t="s">
        <v>182</v>
      </c>
      <c r="M49" s="154">
        <v>675</v>
      </c>
      <c r="N49" s="40">
        <f>M49*J49</f>
        <v>1849.5000000000002</v>
      </c>
      <c r="O49" s="41">
        <v>103.5</v>
      </c>
      <c r="P49" s="35">
        <v>8.58</v>
      </c>
      <c r="Q49" s="42">
        <v>7.4740000000000002</v>
      </c>
      <c r="R49" s="40">
        <f>Q49*O49</f>
        <v>773.55899999999997</v>
      </c>
      <c r="S49" s="96">
        <v>225</v>
      </c>
      <c r="T49" s="79">
        <f>19*5.53</f>
        <v>105.07000000000001</v>
      </c>
      <c r="U49" s="148">
        <f>Table1[[#This Row],[Cert Exp]]+Table1[[#This Row],[Labour]]+Table1[[#This Row],[Gold Total]]+N48+Table1[[#This Row],[Diam Total]]</f>
        <v>4696.8789999999999</v>
      </c>
    </row>
    <row r="50" spans="1:21" ht="16.95" customHeight="1" x14ac:dyDescent="0.2">
      <c r="A50" s="59"/>
      <c r="B50" s="60"/>
      <c r="C50" s="61"/>
      <c r="D50" s="151"/>
      <c r="E50" s="60"/>
      <c r="F50" s="61"/>
      <c r="G50" s="61"/>
      <c r="H50" s="60"/>
      <c r="I50" s="60"/>
      <c r="J50" s="60"/>
      <c r="K50" s="127"/>
      <c r="L50" s="60"/>
      <c r="M50" s="155"/>
      <c r="N50" s="60"/>
      <c r="O50" s="60"/>
      <c r="P50" s="60"/>
      <c r="Q50" s="60"/>
      <c r="R50" s="60"/>
      <c r="S50" s="60"/>
      <c r="T50" s="60"/>
      <c r="U50" s="143"/>
    </row>
    <row r="51" spans="1:21" ht="16.95" customHeight="1" x14ac:dyDescent="0.2">
      <c r="A51" s="62">
        <v>15</v>
      </c>
      <c r="B51" s="63" t="s">
        <v>3</v>
      </c>
      <c r="C51" s="5" t="s">
        <v>100</v>
      </c>
      <c r="D51" s="6" t="s">
        <v>14</v>
      </c>
      <c r="E51" s="5" t="s">
        <v>101</v>
      </c>
      <c r="F51" s="64" t="s">
        <v>98</v>
      </c>
      <c r="G51" s="65" t="s">
        <v>78</v>
      </c>
      <c r="H51" s="9">
        <f>J51/I51</f>
        <v>0.20249999999999999</v>
      </c>
      <c r="I51" s="4">
        <v>20</v>
      </c>
      <c r="J51" s="7">
        <v>4.05</v>
      </c>
      <c r="K51" s="128" t="s">
        <v>33</v>
      </c>
      <c r="L51" s="4" t="s">
        <v>181</v>
      </c>
      <c r="M51" s="152">
        <v>650</v>
      </c>
      <c r="N51" s="10">
        <f>M51*J51</f>
        <v>2632.5</v>
      </c>
      <c r="O51" s="66"/>
      <c r="P51" s="12"/>
      <c r="Q51" s="80"/>
      <c r="R51" s="69"/>
      <c r="S51" s="69"/>
      <c r="T51" s="66"/>
      <c r="U51" s="141"/>
    </row>
    <row r="52" spans="1:21" ht="16.95" customHeight="1" x14ac:dyDescent="0.2">
      <c r="A52" s="71"/>
      <c r="B52" s="72"/>
      <c r="C52" s="57" t="s">
        <v>102</v>
      </c>
      <c r="D52" s="72"/>
      <c r="E52" s="36"/>
      <c r="F52" s="75" t="s">
        <v>71</v>
      </c>
      <c r="G52" s="76" t="s">
        <v>19</v>
      </c>
      <c r="H52" s="38">
        <f>J52/I52</f>
        <v>8.1052631578947376E-2</v>
      </c>
      <c r="I52" s="72">
        <v>19</v>
      </c>
      <c r="J52" s="39">
        <v>1.54</v>
      </c>
      <c r="K52" s="130" t="s">
        <v>62</v>
      </c>
      <c r="L52" s="72" t="s">
        <v>179</v>
      </c>
      <c r="M52" s="154">
        <v>550</v>
      </c>
      <c r="N52" s="40">
        <f>M52*J52</f>
        <v>847</v>
      </c>
      <c r="O52" s="41">
        <v>103.5</v>
      </c>
      <c r="P52" s="35">
        <v>7.59</v>
      </c>
      <c r="Q52" s="42">
        <v>6.4720000000000004</v>
      </c>
      <c r="R52" s="40">
        <f>Q52*O52</f>
        <v>669.85200000000009</v>
      </c>
      <c r="S52" s="96">
        <v>225</v>
      </c>
      <c r="T52" s="79">
        <f>19*5.59</f>
        <v>106.21</v>
      </c>
      <c r="U52" s="148">
        <f>Table1[[#This Row],[Cert Exp]]+Table1[[#This Row],[Labour]]+Table1[[#This Row],[Gold Total]]+N51+Table1[[#This Row],[Diam Total]]</f>
        <v>4480.5619999999999</v>
      </c>
    </row>
    <row r="53" spans="1:21" ht="16.95" customHeight="1" x14ac:dyDescent="0.2">
      <c r="A53" s="59"/>
      <c r="B53" s="60"/>
      <c r="C53" s="61"/>
      <c r="D53" s="151"/>
      <c r="E53" s="60"/>
      <c r="F53" s="61"/>
      <c r="G53" s="61"/>
      <c r="H53" s="60"/>
      <c r="I53" s="60"/>
      <c r="J53" s="60"/>
      <c r="K53" s="127"/>
      <c r="L53" s="60"/>
      <c r="M53" s="155"/>
      <c r="N53" s="60"/>
      <c r="O53" s="60"/>
      <c r="P53" s="60"/>
      <c r="Q53" s="60"/>
      <c r="R53" s="60"/>
      <c r="S53" s="60"/>
      <c r="T53" s="60"/>
      <c r="U53" s="143"/>
    </row>
    <row r="54" spans="1:21" ht="16.95" customHeight="1" x14ac:dyDescent="0.2">
      <c r="A54" s="101">
        <v>16</v>
      </c>
      <c r="B54" s="107" t="s">
        <v>104</v>
      </c>
      <c r="C54" s="103" t="s">
        <v>107</v>
      </c>
      <c r="D54" s="104" t="s">
        <v>14</v>
      </c>
      <c r="E54" s="195" t="s">
        <v>108</v>
      </c>
      <c r="F54" s="103" t="s">
        <v>109</v>
      </c>
      <c r="G54" s="105" t="s">
        <v>78</v>
      </c>
      <c r="H54" s="106">
        <f>J54/I54</f>
        <v>0.200625</v>
      </c>
      <c r="I54" s="107">
        <v>32</v>
      </c>
      <c r="J54" s="108">
        <v>6.42</v>
      </c>
      <c r="K54" s="135" t="s">
        <v>20</v>
      </c>
      <c r="L54" s="107" t="s">
        <v>183</v>
      </c>
      <c r="M54" s="157">
        <v>650</v>
      </c>
      <c r="N54" s="109">
        <f>M54*J54</f>
        <v>4173</v>
      </c>
      <c r="O54" s="110">
        <v>103.5</v>
      </c>
      <c r="P54" s="111">
        <v>8.25</v>
      </c>
      <c r="Q54" s="115">
        <v>6.9660000000000002</v>
      </c>
      <c r="R54" s="109">
        <f>Q54*O54</f>
        <v>720.98099999999999</v>
      </c>
      <c r="S54" s="113">
        <v>225</v>
      </c>
      <c r="T54" s="114">
        <f>19*J54</f>
        <v>121.98</v>
      </c>
      <c r="U54" s="149">
        <f>Table1[[#This Row],[Cert Exp]]+Table1[[#This Row],[Labour]]+Table1[[#This Row],[Gold Total]]+Table1[[#This Row],[Diam Total]]</f>
        <v>5240.9610000000002</v>
      </c>
    </row>
    <row r="55" spans="1:21" ht="16.95" customHeight="1" x14ac:dyDescent="0.2">
      <c r="A55" s="59"/>
      <c r="B55" s="60"/>
      <c r="C55" s="61"/>
      <c r="D55" s="151"/>
      <c r="E55" s="60"/>
      <c r="F55" s="61"/>
      <c r="G55" s="61"/>
      <c r="H55" s="60"/>
      <c r="I55" s="60"/>
      <c r="J55" s="60"/>
      <c r="K55" s="127"/>
      <c r="L55" s="60"/>
      <c r="M55" s="155"/>
      <c r="N55" s="60"/>
      <c r="O55" s="60"/>
      <c r="P55" s="60"/>
      <c r="Q55" s="60"/>
      <c r="R55" s="60"/>
      <c r="S55" s="60"/>
      <c r="T55" s="60"/>
      <c r="U55" s="143"/>
    </row>
    <row r="56" spans="1:21" ht="16.95" customHeight="1" x14ac:dyDescent="0.2">
      <c r="A56" s="62">
        <v>17</v>
      </c>
      <c r="B56" s="4" t="s">
        <v>105</v>
      </c>
      <c r="C56" s="64" t="s">
        <v>110</v>
      </c>
      <c r="D56" s="6" t="s">
        <v>14</v>
      </c>
      <c r="E56" s="5" t="s">
        <v>111</v>
      </c>
      <c r="F56" s="64" t="s">
        <v>109</v>
      </c>
      <c r="G56" s="65" t="s">
        <v>112</v>
      </c>
      <c r="H56" s="9">
        <f>J56/I56</f>
        <v>0.31437500000000002</v>
      </c>
      <c r="I56" s="4">
        <v>16</v>
      </c>
      <c r="J56" s="7">
        <v>5.03</v>
      </c>
      <c r="K56" s="137" t="s">
        <v>20</v>
      </c>
      <c r="L56" s="4" t="s">
        <v>118</v>
      </c>
      <c r="M56" s="152">
        <v>750</v>
      </c>
      <c r="N56" s="10">
        <f>M56*J56</f>
        <v>3772.5</v>
      </c>
      <c r="O56" s="66"/>
      <c r="P56" s="12"/>
      <c r="Q56" s="13"/>
      <c r="R56" s="69"/>
      <c r="S56" s="69"/>
      <c r="T56" s="66"/>
      <c r="U56" s="141"/>
    </row>
    <row r="57" spans="1:21" ht="16.95" customHeight="1" x14ac:dyDescent="0.2">
      <c r="A57" s="71"/>
      <c r="B57" s="72"/>
      <c r="C57" s="73" t="s">
        <v>113</v>
      </c>
      <c r="D57" s="116"/>
      <c r="E57" s="36"/>
      <c r="F57" s="75" t="s">
        <v>22</v>
      </c>
      <c r="G57" s="76" t="s">
        <v>53</v>
      </c>
      <c r="H57" s="38">
        <f>J57/I57</f>
        <v>0.12687499999999999</v>
      </c>
      <c r="I57" s="72">
        <v>16</v>
      </c>
      <c r="J57" s="39">
        <v>2.0299999999999998</v>
      </c>
      <c r="K57" s="136" t="s">
        <v>56</v>
      </c>
      <c r="L57" s="72" t="s">
        <v>36</v>
      </c>
      <c r="M57" s="154">
        <v>475</v>
      </c>
      <c r="N57" s="40">
        <f>M57*J57</f>
        <v>964.24999999999989</v>
      </c>
      <c r="O57" s="41">
        <v>103.5</v>
      </c>
      <c r="P57" s="35">
        <v>7.92</v>
      </c>
      <c r="Q57" s="42">
        <v>6.4980000000000002</v>
      </c>
      <c r="R57" s="40">
        <f>Q57*O57</f>
        <v>672.54300000000001</v>
      </c>
      <c r="S57" s="96">
        <v>205</v>
      </c>
      <c r="T57" s="79">
        <f>19*7.06</f>
        <v>134.13999999999999</v>
      </c>
      <c r="U57" s="148">
        <f>Table1[[#This Row],[Cert Exp]]+Table1[[#This Row],[Labour]]+Table1[[#This Row],[Gold Total]]+N56+Table1[[#This Row],[Diam Total]]</f>
        <v>5748.433</v>
      </c>
    </row>
    <row r="58" spans="1:21" ht="16.95" customHeight="1" x14ac:dyDescent="0.2">
      <c r="A58" s="59"/>
      <c r="B58" s="60"/>
      <c r="C58" s="61"/>
      <c r="D58" s="151"/>
      <c r="E58" s="60"/>
      <c r="F58" s="61"/>
      <c r="G58" s="61"/>
      <c r="H58" s="60"/>
      <c r="I58" s="60"/>
      <c r="J58" s="60"/>
      <c r="K58" s="127"/>
      <c r="L58" s="60"/>
      <c r="M58" s="155"/>
      <c r="N58" s="60"/>
      <c r="O58" s="60"/>
      <c r="P58" s="60"/>
      <c r="Q58" s="60"/>
      <c r="R58" s="60"/>
      <c r="S58" s="60"/>
      <c r="T58" s="60"/>
      <c r="U58" s="143"/>
    </row>
    <row r="59" spans="1:21" ht="16.95" customHeight="1" x14ac:dyDescent="0.2">
      <c r="A59" s="62">
        <v>18</v>
      </c>
      <c r="B59" s="63" t="s">
        <v>106</v>
      </c>
      <c r="C59" s="64" t="s">
        <v>114</v>
      </c>
      <c r="D59" s="6" t="s">
        <v>14</v>
      </c>
      <c r="E59" s="5" t="s">
        <v>115</v>
      </c>
      <c r="F59" s="64" t="s">
        <v>61</v>
      </c>
      <c r="G59" s="65" t="s">
        <v>78</v>
      </c>
      <c r="H59" s="9">
        <f>J59/I59</f>
        <v>0.19285714285714287</v>
      </c>
      <c r="I59" s="4">
        <v>28</v>
      </c>
      <c r="J59" s="12">
        <v>5.4</v>
      </c>
      <c r="K59" s="128" t="s">
        <v>62</v>
      </c>
      <c r="L59" s="4" t="s">
        <v>82</v>
      </c>
      <c r="M59" s="152">
        <v>625</v>
      </c>
      <c r="N59" s="10">
        <f>M59*J59</f>
        <v>3375</v>
      </c>
      <c r="O59" s="66"/>
      <c r="P59" s="67"/>
      <c r="Q59" s="68"/>
      <c r="R59" s="69"/>
      <c r="S59" s="69"/>
      <c r="T59" s="66"/>
      <c r="U59" s="141"/>
    </row>
    <row r="60" spans="1:21" ht="16.95" customHeight="1" x14ac:dyDescent="0.2">
      <c r="A60" s="71"/>
      <c r="B60" s="72"/>
      <c r="C60" s="73" t="s">
        <v>116</v>
      </c>
      <c r="D60" s="74"/>
      <c r="E60" s="36"/>
      <c r="F60" s="75" t="s">
        <v>117</v>
      </c>
      <c r="G60" s="76" t="s">
        <v>75</v>
      </c>
      <c r="H60" s="38">
        <f>J60/I60</f>
        <v>0.14928571428571427</v>
      </c>
      <c r="I60" s="72">
        <v>14</v>
      </c>
      <c r="J60" s="35">
        <v>2.09</v>
      </c>
      <c r="K60" s="130" t="s">
        <v>20</v>
      </c>
      <c r="L60" s="72" t="s">
        <v>119</v>
      </c>
      <c r="M60" s="154">
        <v>675</v>
      </c>
      <c r="N60" s="40">
        <f>M60*J60</f>
        <v>1410.75</v>
      </c>
      <c r="O60" s="41">
        <v>103.5</v>
      </c>
      <c r="P60" s="77">
        <v>10.79</v>
      </c>
      <c r="Q60" s="78">
        <v>9.2919999999999998</v>
      </c>
      <c r="R60" s="40">
        <f>Q60*O60</f>
        <v>961.72199999999998</v>
      </c>
      <c r="S60" s="96">
        <v>225</v>
      </c>
      <c r="T60" s="79">
        <f>19*7.49</f>
        <v>142.31</v>
      </c>
      <c r="U60" s="148">
        <f>Table1[[#This Row],[Cert Exp]]+Table1[[#This Row],[Labour]]+Table1[[#This Row],[Gold Total]]+N59+Table1[[#This Row],[Diam Total]]</f>
        <v>6114.7820000000002</v>
      </c>
    </row>
    <row r="61" spans="1:21" ht="16.95" customHeight="1" x14ac:dyDescent="0.2">
      <c r="A61" s="81"/>
      <c r="B61" s="82"/>
      <c r="C61" s="85"/>
      <c r="D61" s="97"/>
      <c r="E61" s="83"/>
      <c r="F61" s="85"/>
      <c r="G61" s="86"/>
      <c r="H61" s="92"/>
      <c r="I61" s="82"/>
      <c r="J61" s="90"/>
      <c r="K61" s="131"/>
      <c r="L61" s="82"/>
      <c r="M61" s="156"/>
      <c r="N61" s="93"/>
      <c r="O61" s="94"/>
      <c r="P61" s="87"/>
      <c r="Q61" s="95"/>
      <c r="R61" s="93"/>
      <c r="S61" s="88"/>
      <c r="T61" s="89"/>
      <c r="U61" s="144"/>
    </row>
    <row r="62" spans="1:21" ht="16.95" customHeight="1" x14ac:dyDescent="0.2">
      <c r="A62" s="62">
        <v>19</v>
      </c>
      <c r="B62" s="4" t="s">
        <v>2</v>
      </c>
      <c r="C62" s="64" t="s">
        <v>120</v>
      </c>
      <c r="D62" s="6" t="s">
        <v>14</v>
      </c>
      <c r="E62" s="5" t="s">
        <v>121</v>
      </c>
      <c r="F62" s="64" t="s">
        <v>98</v>
      </c>
      <c r="G62" s="65" t="s">
        <v>122</v>
      </c>
      <c r="H62" s="9">
        <f>J62/I62</f>
        <v>0.73</v>
      </c>
      <c r="I62" s="4">
        <v>4</v>
      </c>
      <c r="J62" s="12">
        <v>2.92</v>
      </c>
      <c r="K62" s="128" t="s">
        <v>28</v>
      </c>
      <c r="L62" s="4" t="s">
        <v>126</v>
      </c>
      <c r="M62" s="152">
        <v>950</v>
      </c>
      <c r="N62" s="10">
        <f>M62*J62</f>
        <v>2774</v>
      </c>
      <c r="O62" s="66"/>
      <c r="P62" s="67"/>
      <c r="Q62" s="68"/>
      <c r="R62" s="69"/>
      <c r="S62" s="69"/>
      <c r="T62" s="66"/>
      <c r="U62" s="141"/>
    </row>
    <row r="63" spans="1:21" ht="16.95" customHeight="1" x14ac:dyDescent="0.2">
      <c r="A63" s="70"/>
      <c r="B63" s="26"/>
      <c r="C63" s="23"/>
      <c r="D63" s="31"/>
      <c r="E63" s="15"/>
      <c r="F63" s="23" t="s">
        <v>98</v>
      </c>
      <c r="G63" s="25" t="s">
        <v>112</v>
      </c>
      <c r="H63" s="17">
        <f>J63/I63</f>
        <v>0.31</v>
      </c>
      <c r="I63" s="26">
        <v>4</v>
      </c>
      <c r="J63" s="20">
        <v>1.24</v>
      </c>
      <c r="K63" s="129"/>
      <c r="L63" s="26" t="s">
        <v>127</v>
      </c>
      <c r="M63" s="153">
        <v>750</v>
      </c>
      <c r="N63" s="18">
        <f>M63*J63</f>
        <v>930</v>
      </c>
      <c r="O63" s="27"/>
      <c r="P63" s="28"/>
      <c r="Q63" s="29"/>
      <c r="R63" s="30"/>
      <c r="S63" s="30"/>
      <c r="T63" s="27"/>
      <c r="U63" s="142"/>
    </row>
    <row r="64" spans="1:21" ht="16.95" customHeight="1" x14ac:dyDescent="0.2">
      <c r="A64" s="70"/>
      <c r="B64" s="26"/>
      <c r="C64" s="23"/>
      <c r="D64" s="31"/>
      <c r="E64" s="15"/>
      <c r="F64" s="23" t="s">
        <v>32</v>
      </c>
      <c r="G64" s="25" t="s">
        <v>112</v>
      </c>
      <c r="H64" s="17">
        <f>J64/I64</f>
        <v>0.315</v>
      </c>
      <c r="I64" s="26">
        <v>8</v>
      </c>
      <c r="J64" s="20">
        <v>2.52</v>
      </c>
      <c r="K64" s="129" t="s">
        <v>20</v>
      </c>
      <c r="L64" s="26" t="s">
        <v>184</v>
      </c>
      <c r="M64" s="153">
        <v>825</v>
      </c>
      <c r="N64" s="18">
        <f>M64*J64</f>
        <v>2079</v>
      </c>
      <c r="O64" s="27"/>
      <c r="P64" s="28"/>
      <c r="Q64" s="29"/>
      <c r="R64" s="30"/>
      <c r="S64" s="30"/>
      <c r="T64" s="27"/>
      <c r="U64" s="142"/>
    </row>
    <row r="65" spans="1:21" ht="16.95" customHeight="1" x14ac:dyDescent="0.2">
      <c r="A65" s="71"/>
      <c r="B65" s="72"/>
      <c r="C65" s="73" t="s">
        <v>123</v>
      </c>
      <c r="D65" s="74"/>
      <c r="E65" s="36"/>
      <c r="F65" s="75" t="s">
        <v>27</v>
      </c>
      <c r="G65" s="76" t="s">
        <v>124</v>
      </c>
      <c r="H65" s="38">
        <f>J65/I65</f>
        <v>7.9375000000000001E-2</v>
      </c>
      <c r="I65" s="72">
        <v>16</v>
      </c>
      <c r="J65" s="35">
        <v>1.27</v>
      </c>
      <c r="K65" s="130" t="s">
        <v>56</v>
      </c>
      <c r="L65" s="72" t="s">
        <v>180</v>
      </c>
      <c r="M65" s="154">
        <v>455</v>
      </c>
      <c r="N65" s="40">
        <f>M65*J65</f>
        <v>577.85</v>
      </c>
      <c r="O65" s="41">
        <v>103.5</v>
      </c>
      <c r="P65" s="77">
        <v>10.68</v>
      </c>
      <c r="Q65" s="78">
        <v>9.09</v>
      </c>
      <c r="R65" s="40">
        <f>Q65*O65</f>
        <v>940.81499999999994</v>
      </c>
      <c r="S65" s="96">
        <v>225</v>
      </c>
      <c r="T65" s="79">
        <f>19*7.95</f>
        <v>151.05000000000001</v>
      </c>
      <c r="U65" s="148">
        <f>Table1[[#This Row],[Cert Exp]]+Table1[[#This Row],[Labour]]+Table1[[#This Row],[Gold Total]]+N62+N63+N64+Table1[[#This Row],[Diam Total]]</f>
        <v>7677.7150000000001</v>
      </c>
    </row>
    <row r="66" spans="1:21" ht="16.95" customHeight="1" x14ac:dyDescent="0.2">
      <c r="A66" s="59"/>
      <c r="B66" s="60"/>
      <c r="C66" s="61"/>
      <c r="D66" s="151"/>
      <c r="E66" s="60"/>
      <c r="F66" s="61"/>
      <c r="G66" s="61"/>
      <c r="H66" s="60"/>
      <c r="I66" s="60"/>
      <c r="J66" s="60"/>
      <c r="K66" s="127"/>
      <c r="L66" s="60"/>
      <c r="M66" s="155"/>
      <c r="N66" s="60"/>
      <c r="O66" s="60"/>
      <c r="P66" s="60"/>
      <c r="Q66" s="60"/>
      <c r="R66" s="60"/>
      <c r="S66" s="60"/>
      <c r="T66" s="60"/>
      <c r="U66" s="143"/>
    </row>
    <row r="67" spans="1:21" ht="16.95" customHeight="1" x14ac:dyDescent="0.2">
      <c r="A67" s="101">
        <v>20</v>
      </c>
      <c r="B67" s="107" t="s">
        <v>2</v>
      </c>
      <c r="C67" s="103" t="s">
        <v>107</v>
      </c>
      <c r="D67" s="104" t="s">
        <v>14</v>
      </c>
      <c r="E67" s="195" t="s">
        <v>125</v>
      </c>
      <c r="F67" s="103" t="s">
        <v>109</v>
      </c>
      <c r="G67" s="105" t="s">
        <v>78</v>
      </c>
      <c r="H67" s="106">
        <f>J67/I67</f>
        <v>0.18693877551020407</v>
      </c>
      <c r="I67" s="107">
        <v>49</v>
      </c>
      <c r="J67" s="108">
        <v>9.16</v>
      </c>
      <c r="K67" s="135" t="s">
        <v>62</v>
      </c>
      <c r="L67" s="107" t="s">
        <v>103</v>
      </c>
      <c r="M67" s="157">
        <v>650</v>
      </c>
      <c r="N67" s="109">
        <f>M67*J67</f>
        <v>5954</v>
      </c>
      <c r="O67" s="110">
        <v>103.5</v>
      </c>
      <c r="P67" s="111">
        <v>12.74</v>
      </c>
      <c r="Q67" s="112">
        <v>10.907999999999999</v>
      </c>
      <c r="R67" s="109">
        <f>Q67*O67</f>
        <v>1128.9779999999998</v>
      </c>
      <c r="S67" s="113">
        <v>225</v>
      </c>
      <c r="T67" s="114">
        <f>19*J67</f>
        <v>174.04</v>
      </c>
      <c r="U67" s="149">
        <f>Table1[[#This Row],[Cert Exp]]+Table1[[#This Row],[Labour]]+Table1[[#This Row],[Gold Total]]+Table1[[#This Row],[Diam Total]]</f>
        <v>7482.018</v>
      </c>
    </row>
    <row r="68" spans="1:21" ht="16.95" customHeight="1" x14ac:dyDescent="0.2">
      <c r="A68" s="117"/>
      <c r="B68" s="84"/>
      <c r="C68" s="83"/>
      <c r="D68" s="84"/>
      <c r="E68" s="83"/>
      <c r="F68" s="83"/>
      <c r="G68" s="118"/>
      <c r="H68" s="92"/>
      <c r="I68" s="84"/>
      <c r="J68" s="84"/>
      <c r="K68" s="138"/>
      <c r="L68" s="84"/>
      <c r="M68" s="156"/>
      <c r="N68" s="93"/>
      <c r="O68" s="94"/>
      <c r="P68" s="90"/>
      <c r="Q68" s="119"/>
      <c r="R68" s="93"/>
      <c r="S68" s="93"/>
      <c r="T68" s="94"/>
      <c r="U68" s="144"/>
    </row>
    <row r="69" spans="1:21" ht="16.95" customHeight="1" x14ac:dyDescent="0.2">
      <c r="A69" s="62">
        <v>21</v>
      </c>
      <c r="B69" s="63" t="s">
        <v>128</v>
      </c>
      <c r="C69" s="64" t="s">
        <v>129</v>
      </c>
      <c r="D69" s="6" t="s">
        <v>14</v>
      </c>
      <c r="E69" s="5" t="s">
        <v>130</v>
      </c>
      <c r="F69" s="64" t="s">
        <v>131</v>
      </c>
      <c r="G69" s="65" t="s">
        <v>132</v>
      </c>
      <c r="H69" s="9">
        <f>J69/I69</f>
        <v>1.56</v>
      </c>
      <c r="I69" s="4">
        <v>1</v>
      </c>
      <c r="J69" s="12">
        <v>1.56</v>
      </c>
      <c r="K69" s="128" t="s">
        <v>133</v>
      </c>
      <c r="L69" s="4" t="s">
        <v>185</v>
      </c>
      <c r="M69" s="152">
        <v>1025</v>
      </c>
      <c r="N69" s="10">
        <f>M69*J69</f>
        <v>1599</v>
      </c>
      <c r="O69" s="66"/>
      <c r="P69" s="67"/>
      <c r="Q69" s="68"/>
      <c r="R69" s="69"/>
      <c r="S69" s="69"/>
      <c r="T69" s="66"/>
      <c r="U69" s="141"/>
    </row>
    <row r="70" spans="1:21" ht="16.95" customHeight="1" x14ac:dyDescent="0.2">
      <c r="A70" s="71"/>
      <c r="B70" s="72"/>
      <c r="C70" s="73" t="s">
        <v>134</v>
      </c>
      <c r="D70" s="74"/>
      <c r="E70" s="36"/>
      <c r="F70" s="75" t="s">
        <v>27</v>
      </c>
      <c r="G70" s="76" t="s">
        <v>135</v>
      </c>
      <c r="H70" s="38">
        <f>J70/I70</f>
        <v>9.5454545454545459E-2</v>
      </c>
      <c r="I70" s="72">
        <v>55</v>
      </c>
      <c r="J70" s="35">
        <v>5.25</v>
      </c>
      <c r="K70" s="130" t="s">
        <v>24</v>
      </c>
      <c r="L70" s="72" t="s">
        <v>180</v>
      </c>
      <c r="M70" s="154">
        <v>475</v>
      </c>
      <c r="N70" s="40">
        <f>M70*J70</f>
        <v>2493.75</v>
      </c>
      <c r="O70" s="41">
        <v>103.5</v>
      </c>
      <c r="P70" s="77">
        <v>8.98</v>
      </c>
      <c r="Q70" s="78">
        <v>7.6180000000000003</v>
      </c>
      <c r="R70" s="40">
        <f>Q70*O70</f>
        <v>788.46300000000008</v>
      </c>
      <c r="S70" s="96">
        <v>205</v>
      </c>
      <c r="T70" s="79">
        <f>19*6.81</f>
        <v>129.38999999999999</v>
      </c>
      <c r="U70" s="148">
        <f>Table1[[#This Row],[Cert Exp]]+Table1[[#This Row],[Labour]]+Table1[[#This Row],[Gold Total]]+N69+Table1[[#This Row],[Diam Total]]</f>
        <v>5215.6030000000001</v>
      </c>
    </row>
    <row r="71" spans="1:21" ht="16.95" customHeight="1" x14ac:dyDescent="0.2">
      <c r="A71" s="59"/>
      <c r="B71" s="60"/>
      <c r="C71" s="61"/>
      <c r="D71" s="151"/>
      <c r="E71" s="60"/>
      <c r="F71" s="61"/>
      <c r="G71" s="61"/>
      <c r="H71" s="60"/>
      <c r="I71" s="60"/>
      <c r="J71" s="60"/>
      <c r="K71" s="127"/>
      <c r="L71" s="60"/>
      <c r="M71" s="155"/>
      <c r="N71" s="60"/>
      <c r="O71" s="60"/>
      <c r="P71" s="60"/>
      <c r="Q71" s="60"/>
      <c r="R71" s="60"/>
      <c r="S71" s="60"/>
      <c r="T71" s="60"/>
      <c r="U71" s="143"/>
    </row>
    <row r="72" spans="1:21" ht="16.95" customHeight="1" x14ac:dyDescent="0.2">
      <c r="A72" s="62">
        <v>22</v>
      </c>
      <c r="B72" s="4" t="s">
        <v>2</v>
      </c>
      <c r="C72" s="5" t="s">
        <v>89</v>
      </c>
      <c r="D72" s="6" t="s">
        <v>14</v>
      </c>
      <c r="E72" s="5" t="s">
        <v>136</v>
      </c>
      <c r="F72" s="64" t="s">
        <v>61</v>
      </c>
      <c r="G72" s="65" t="s">
        <v>78</v>
      </c>
      <c r="H72" s="9">
        <f>J72/I72</f>
        <v>0.21266666666666667</v>
      </c>
      <c r="I72" s="4">
        <v>30</v>
      </c>
      <c r="J72" s="7">
        <v>6.38</v>
      </c>
      <c r="K72" s="128" t="s">
        <v>62</v>
      </c>
      <c r="L72" s="4" t="s">
        <v>81</v>
      </c>
      <c r="M72" s="152">
        <v>625</v>
      </c>
      <c r="N72" s="10">
        <f>M72*J72</f>
        <v>3987.5</v>
      </c>
      <c r="O72" s="66"/>
      <c r="P72" s="12"/>
      <c r="Q72" s="80"/>
      <c r="R72" s="69"/>
      <c r="S72" s="69"/>
      <c r="T72" s="66"/>
      <c r="U72" s="141"/>
    </row>
    <row r="73" spans="1:21" ht="16.95" customHeight="1" x14ac:dyDescent="0.2">
      <c r="A73" s="71"/>
      <c r="B73" s="120"/>
      <c r="C73" s="57" t="s">
        <v>137</v>
      </c>
      <c r="D73" s="116"/>
      <c r="E73" s="36"/>
      <c r="F73" s="75" t="s">
        <v>16</v>
      </c>
      <c r="G73" s="76" t="s">
        <v>19</v>
      </c>
      <c r="H73" s="38">
        <f>J73/I73</f>
        <v>9.8965517241379308E-2</v>
      </c>
      <c r="I73" s="72">
        <v>29</v>
      </c>
      <c r="J73" s="39">
        <v>2.87</v>
      </c>
      <c r="K73" s="136" t="s">
        <v>20</v>
      </c>
      <c r="L73" s="72" t="s">
        <v>35</v>
      </c>
      <c r="M73" s="154">
        <v>550</v>
      </c>
      <c r="N73" s="40">
        <f>M73*J73</f>
        <v>1578.5</v>
      </c>
      <c r="O73" s="41">
        <v>103.5</v>
      </c>
      <c r="P73" s="35">
        <v>14.5</v>
      </c>
      <c r="Q73" s="42">
        <v>12.65</v>
      </c>
      <c r="R73" s="40">
        <f>Q73*O73</f>
        <v>1309.2750000000001</v>
      </c>
      <c r="S73" s="96">
        <v>225</v>
      </c>
      <c r="T73" s="79">
        <f>19*9.25</f>
        <v>175.75</v>
      </c>
      <c r="U73" s="148">
        <f>Table1[[#This Row],[Cert Exp]]+Table1[[#This Row],[Labour]]+Table1[[#This Row],[Gold Total]]+N72+Table1[[#This Row],[Diam Total]]</f>
        <v>7276.0249999999996</v>
      </c>
    </row>
    <row r="74" spans="1:21" ht="16.95" customHeight="1" x14ac:dyDescent="0.2">
      <c r="A74" s="59"/>
      <c r="B74" s="60"/>
      <c r="C74" s="61"/>
      <c r="D74" s="151"/>
      <c r="E74" s="60"/>
      <c r="F74" s="61"/>
      <c r="G74" s="61"/>
      <c r="H74" s="60"/>
      <c r="I74" s="60"/>
      <c r="J74" s="60"/>
      <c r="K74" s="127"/>
      <c r="L74" s="60"/>
      <c r="M74" s="155"/>
      <c r="N74" s="60"/>
      <c r="O74" s="60"/>
      <c r="P74" s="60"/>
      <c r="Q74" s="60"/>
      <c r="R74" s="60"/>
      <c r="S74" s="60"/>
      <c r="T74" s="60"/>
      <c r="U74" s="143"/>
    </row>
    <row r="75" spans="1:21" ht="16.95" customHeight="1" x14ac:dyDescent="0.2">
      <c r="A75" s="62">
        <v>23</v>
      </c>
      <c r="B75" s="63" t="s">
        <v>3</v>
      </c>
      <c r="C75" s="64" t="s">
        <v>138</v>
      </c>
      <c r="D75" s="6" t="s">
        <v>14</v>
      </c>
      <c r="E75" s="5" t="s">
        <v>139</v>
      </c>
      <c r="F75" s="64" t="s">
        <v>61</v>
      </c>
      <c r="G75" s="65" t="s">
        <v>78</v>
      </c>
      <c r="H75" s="9">
        <f>J75/I75</f>
        <v>0.19488888888888889</v>
      </c>
      <c r="I75" s="4">
        <v>45</v>
      </c>
      <c r="J75" s="12">
        <v>8.77</v>
      </c>
      <c r="K75" s="128" t="s">
        <v>62</v>
      </c>
      <c r="L75" s="4" t="s">
        <v>174</v>
      </c>
      <c r="M75" s="152">
        <v>625</v>
      </c>
      <c r="N75" s="10">
        <f>M75*J75</f>
        <v>5481.25</v>
      </c>
      <c r="O75" s="66"/>
      <c r="P75" s="67"/>
      <c r="Q75" s="68"/>
      <c r="R75" s="69"/>
      <c r="S75" s="69"/>
      <c r="T75" s="66"/>
      <c r="U75" s="141"/>
    </row>
    <row r="76" spans="1:21" ht="16.95" customHeight="1" x14ac:dyDescent="0.2">
      <c r="A76" s="71"/>
      <c r="B76" s="120"/>
      <c r="C76" s="57" t="s">
        <v>140</v>
      </c>
      <c r="D76" s="121"/>
      <c r="E76" s="36"/>
      <c r="F76" s="75" t="s">
        <v>22</v>
      </c>
      <c r="G76" s="76" t="s">
        <v>141</v>
      </c>
      <c r="H76" s="38">
        <f>J76/I76</f>
        <v>3.7777777777777779E-3</v>
      </c>
      <c r="I76" s="72">
        <v>270</v>
      </c>
      <c r="J76" s="35">
        <v>1.02</v>
      </c>
      <c r="K76" s="130" t="s">
        <v>62</v>
      </c>
      <c r="L76" s="72" t="s">
        <v>170</v>
      </c>
      <c r="M76" s="154">
        <v>550</v>
      </c>
      <c r="N76" s="40">
        <f>M76*J76</f>
        <v>561</v>
      </c>
      <c r="O76" s="41">
        <v>103.5</v>
      </c>
      <c r="P76" s="77">
        <v>18.52</v>
      </c>
      <c r="Q76" s="78">
        <v>16.562000000000001</v>
      </c>
      <c r="R76" s="40">
        <f>Q76*O76</f>
        <v>1714.1670000000001</v>
      </c>
      <c r="S76" s="96">
        <v>375</v>
      </c>
      <c r="T76" s="79">
        <f>19*9.79</f>
        <v>186.01</v>
      </c>
      <c r="U76" s="148">
        <f>Table1[[#This Row],[Cert Exp]]+Table1[[#This Row],[Labour]]+Table1[[#This Row],[Gold Total]]+N75+Table1[[#This Row],[Diam Total]]</f>
        <v>8317.4269999999997</v>
      </c>
    </row>
    <row r="77" spans="1:21" ht="16.95" customHeight="1" x14ac:dyDescent="0.2">
      <c r="A77" s="81"/>
      <c r="B77" s="98"/>
      <c r="C77" s="83"/>
      <c r="D77" s="99"/>
      <c r="E77" s="83"/>
      <c r="F77" s="85"/>
      <c r="G77" s="86"/>
      <c r="H77" s="92"/>
      <c r="I77" s="82"/>
      <c r="J77" s="90"/>
      <c r="K77" s="131"/>
      <c r="L77" s="82"/>
      <c r="M77" s="156"/>
      <c r="N77" s="93"/>
      <c r="O77" s="94"/>
      <c r="P77" s="87"/>
      <c r="Q77" s="95"/>
      <c r="R77" s="93"/>
      <c r="S77" s="88"/>
      <c r="T77" s="89"/>
      <c r="U77" s="144"/>
    </row>
    <row r="78" spans="1:21" ht="16.95" customHeight="1" x14ac:dyDescent="0.2">
      <c r="A78" s="54">
        <v>24</v>
      </c>
      <c r="B78" s="12" t="s">
        <v>192</v>
      </c>
      <c r="C78" s="5" t="s">
        <v>143</v>
      </c>
      <c r="D78" s="122" t="s">
        <v>14</v>
      </c>
      <c r="E78" s="5" t="s">
        <v>144</v>
      </c>
      <c r="F78" s="12" t="s">
        <v>22</v>
      </c>
      <c r="G78" s="8" t="s">
        <v>17</v>
      </c>
      <c r="H78" s="9">
        <f>J78/I78</f>
        <v>1</v>
      </c>
      <c r="I78" s="7">
        <v>1</v>
      </c>
      <c r="J78" s="12">
        <v>1</v>
      </c>
      <c r="K78" s="137" t="s">
        <v>52</v>
      </c>
      <c r="L78" s="7" t="s">
        <v>172</v>
      </c>
      <c r="M78" s="152">
        <v>1425</v>
      </c>
      <c r="N78" s="10">
        <f t="shared" ref="N78:N115" si="0">M78*J78</f>
        <v>1425</v>
      </c>
      <c r="O78" s="11"/>
      <c r="P78" s="12"/>
      <c r="Q78" s="13"/>
      <c r="R78" s="123"/>
      <c r="S78" s="123"/>
      <c r="T78" s="123"/>
      <c r="U78" s="145"/>
    </row>
    <row r="79" spans="1:21" ht="16.95" customHeight="1" x14ac:dyDescent="0.2">
      <c r="A79" s="55"/>
      <c r="B79" s="20"/>
      <c r="C79" s="15"/>
      <c r="D79" s="14"/>
      <c r="E79" s="15"/>
      <c r="F79" s="20" t="s">
        <v>22</v>
      </c>
      <c r="G79" s="16" t="s">
        <v>145</v>
      </c>
      <c r="H79" s="17">
        <f>J79/I79</f>
        <v>0.9</v>
      </c>
      <c r="I79" s="14">
        <v>1</v>
      </c>
      <c r="J79" s="20">
        <v>0.9</v>
      </c>
      <c r="K79" s="139" t="s">
        <v>52</v>
      </c>
      <c r="L79" s="14" t="s">
        <v>186</v>
      </c>
      <c r="M79" s="153">
        <v>1075</v>
      </c>
      <c r="N79" s="18">
        <f t="shared" si="0"/>
        <v>967.5</v>
      </c>
      <c r="O79" s="19"/>
      <c r="P79" s="20"/>
      <c r="Q79" s="21"/>
      <c r="R79" s="33"/>
      <c r="S79" s="33"/>
      <c r="T79" s="33"/>
      <c r="U79" s="146"/>
    </row>
    <row r="80" spans="1:21" ht="16.95" customHeight="1" x14ac:dyDescent="0.2">
      <c r="A80" s="55"/>
      <c r="B80" s="20"/>
      <c r="C80" s="15"/>
      <c r="D80" s="14"/>
      <c r="E80" s="15"/>
      <c r="F80" s="20" t="s">
        <v>22</v>
      </c>
      <c r="G80" s="16" t="s">
        <v>146</v>
      </c>
      <c r="H80" s="17">
        <f>J80/I80</f>
        <v>0.54999999999999993</v>
      </c>
      <c r="I80" s="14">
        <v>12</v>
      </c>
      <c r="J80" s="20">
        <v>6.6</v>
      </c>
      <c r="K80" s="139" t="s">
        <v>52</v>
      </c>
      <c r="L80" s="14" t="s">
        <v>177</v>
      </c>
      <c r="M80" s="153">
        <v>725</v>
      </c>
      <c r="N80" s="18">
        <f t="shared" si="0"/>
        <v>4785</v>
      </c>
      <c r="O80" s="19"/>
      <c r="P80" s="20"/>
      <c r="Q80" s="21"/>
      <c r="R80" s="33"/>
      <c r="S80" s="33"/>
      <c r="T80" s="33"/>
      <c r="U80" s="146"/>
    </row>
    <row r="81" spans="1:21" ht="16.95" customHeight="1" x14ac:dyDescent="0.2">
      <c r="A81" s="55"/>
      <c r="B81" s="20"/>
      <c r="C81" s="15"/>
      <c r="D81" s="14"/>
      <c r="E81" s="15"/>
      <c r="F81" s="20" t="s">
        <v>109</v>
      </c>
      <c r="G81" s="16" t="s">
        <v>19</v>
      </c>
      <c r="H81" s="17">
        <f>J81/I81</f>
        <v>0.10642857142857143</v>
      </c>
      <c r="I81" s="14">
        <v>28</v>
      </c>
      <c r="J81" s="20">
        <v>2.98</v>
      </c>
      <c r="K81" s="139" t="s">
        <v>20</v>
      </c>
      <c r="L81" s="14" t="s">
        <v>176</v>
      </c>
      <c r="M81" s="153">
        <v>525</v>
      </c>
      <c r="N81" s="18">
        <f t="shared" si="0"/>
        <v>1564.5</v>
      </c>
      <c r="O81" s="19"/>
      <c r="P81" s="20"/>
      <c r="Q81" s="21"/>
      <c r="R81" s="33"/>
      <c r="S81" s="33"/>
      <c r="T81" s="33"/>
      <c r="U81" s="146"/>
    </row>
    <row r="82" spans="1:21" ht="16.95" customHeight="1" x14ac:dyDescent="0.2">
      <c r="A82" s="56"/>
      <c r="B82" s="35"/>
      <c r="C82" s="57" t="s">
        <v>147</v>
      </c>
      <c r="D82" s="39"/>
      <c r="E82" s="36"/>
      <c r="F82" s="35" t="s">
        <v>32</v>
      </c>
      <c r="G82" s="37" t="s">
        <v>19</v>
      </c>
      <c r="H82" s="38">
        <f>J82/I82</f>
        <v>9.2999999999999999E-2</v>
      </c>
      <c r="I82" s="39">
        <v>20</v>
      </c>
      <c r="J82" s="35">
        <v>1.86</v>
      </c>
      <c r="K82" s="136" t="s">
        <v>20</v>
      </c>
      <c r="L82" s="39" t="s">
        <v>179</v>
      </c>
      <c r="M82" s="154">
        <v>550</v>
      </c>
      <c r="N82" s="40">
        <f t="shared" si="0"/>
        <v>1023</v>
      </c>
      <c r="O82" s="41">
        <v>103.5</v>
      </c>
      <c r="P82" s="35">
        <v>23.82</v>
      </c>
      <c r="Q82" s="42">
        <v>21.152000000000001</v>
      </c>
      <c r="R82" s="40">
        <f>Q82*O82</f>
        <v>2189.232</v>
      </c>
      <c r="S82" s="43">
        <v>500</v>
      </c>
      <c r="T82" s="43">
        <f>19*13.34</f>
        <v>253.46</v>
      </c>
      <c r="U82" s="150">
        <f>Table1[[#This Row],[Cert Exp]]+Table1[[#This Row],[Labour]]+Table1[[#This Row],[Gold Total]]+N78+N79+N80+N81+Table1[[#This Row],[Diam Total]]</f>
        <v>12707.691999999999</v>
      </c>
    </row>
    <row r="83" spans="1:21" ht="16.95" customHeight="1" x14ac:dyDescent="0.2">
      <c r="A83" s="117"/>
      <c r="B83" s="90"/>
      <c r="C83" s="83"/>
      <c r="D83" s="84"/>
      <c r="E83" s="83"/>
      <c r="F83" s="90"/>
      <c r="G83" s="118"/>
      <c r="H83" s="90"/>
      <c r="I83" s="84"/>
      <c r="J83" s="90"/>
      <c r="K83" s="140"/>
      <c r="L83" s="84"/>
      <c r="M83" s="156"/>
      <c r="N83" s="124"/>
      <c r="O83" s="94"/>
      <c r="P83" s="90"/>
      <c r="Q83" s="119"/>
      <c r="R83" s="124"/>
      <c r="S83" s="124"/>
      <c r="T83" s="124"/>
      <c r="U83" s="147"/>
    </row>
    <row r="84" spans="1:21" ht="16.95" customHeight="1" x14ac:dyDescent="0.2">
      <c r="A84" s="54">
        <v>25</v>
      </c>
      <c r="B84" s="12" t="s">
        <v>192</v>
      </c>
      <c r="C84" s="5" t="s">
        <v>148</v>
      </c>
      <c r="D84" s="122" t="s">
        <v>14</v>
      </c>
      <c r="E84" s="5" t="s">
        <v>149</v>
      </c>
      <c r="F84" s="12" t="s">
        <v>109</v>
      </c>
      <c r="G84" s="8" t="s">
        <v>112</v>
      </c>
      <c r="H84" s="9">
        <f t="shared" ref="H84:H117" si="1">J84/I84</f>
        <v>0.36000000000000004</v>
      </c>
      <c r="I84" s="7">
        <v>1</v>
      </c>
      <c r="J84" s="12">
        <v>0.36000000000000004</v>
      </c>
      <c r="K84" s="137" t="s">
        <v>20</v>
      </c>
      <c r="L84" s="7" t="s">
        <v>182</v>
      </c>
      <c r="M84" s="152">
        <v>775</v>
      </c>
      <c r="N84" s="10">
        <f t="shared" si="0"/>
        <v>279.00000000000006</v>
      </c>
      <c r="O84" s="11"/>
      <c r="P84" s="12"/>
      <c r="Q84" s="13"/>
      <c r="R84" s="123"/>
      <c r="S84" s="123"/>
      <c r="T84" s="123"/>
      <c r="U84" s="145"/>
    </row>
    <row r="85" spans="1:21" ht="16.95" customHeight="1" x14ac:dyDescent="0.2">
      <c r="A85" s="55"/>
      <c r="B85" s="20"/>
      <c r="C85" s="15"/>
      <c r="D85" s="14"/>
      <c r="E85" s="15"/>
      <c r="F85" s="20" t="s">
        <v>109</v>
      </c>
      <c r="G85" s="16" t="s">
        <v>69</v>
      </c>
      <c r="H85" s="17">
        <f t="shared" si="1"/>
        <v>0.246</v>
      </c>
      <c r="I85" s="14">
        <v>5</v>
      </c>
      <c r="J85" s="20">
        <v>1.23</v>
      </c>
      <c r="K85" s="139" t="s">
        <v>20</v>
      </c>
      <c r="L85" s="14" t="s">
        <v>181</v>
      </c>
      <c r="M85" s="153">
        <v>725</v>
      </c>
      <c r="N85" s="18">
        <f t="shared" si="0"/>
        <v>891.75</v>
      </c>
      <c r="O85" s="19"/>
      <c r="P85" s="20"/>
      <c r="Q85" s="21"/>
      <c r="R85" s="33"/>
      <c r="S85" s="33"/>
      <c r="T85" s="33"/>
      <c r="U85" s="146"/>
    </row>
    <row r="86" spans="1:21" ht="16.95" customHeight="1" x14ac:dyDescent="0.2">
      <c r="A86" s="55"/>
      <c r="B86" s="20"/>
      <c r="C86" s="15"/>
      <c r="D86" s="14"/>
      <c r="E86" s="15"/>
      <c r="F86" s="20" t="s">
        <v>109</v>
      </c>
      <c r="G86" s="16" t="s">
        <v>78</v>
      </c>
      <c r="H86" s="17">
        <f t="shared" si="1"/>
        <v>0.19</v>
      </c>
      <c r="I86" s="14">
        <v>2</v>
      </c>
      <c r="J86" s="20">
        <v>0.38</v>
      </c>
      <c r="K86" s="139" t="s">
        <v>20</v>
      </c>
      <c r="L86" s="14" t="s">
        <v>183</v>
      </c>
      <c r="M86" s="153">
        <v>675</v>
      </c>
      <c r="N86" s="18">
        <f t="shared" si="0"/>
        <v>256.5</v>
      </c>
      <c r="O86" s="19"/>
      <c r="P86" s="20"/>
      <c r="Q86" s="21"/>
      <c r="R86" s="33"/>
      <c r="S86" s="33"/>
      <c r="T86" s="33"/>
      <c r="U86" s="146"/>
    </row>
    <row r="87" spans="1:21" ht="16.95" customHeight="1" x14ac:dyDescent="0.2">
      <c r="A87" s="55"/>
      <c r="B87" s="20"/>
      <c r="C87" s="15"/>
      <c r="D87" s="14"/>
      <c r="E87" s="15"/>
      <c r="F87" s="20" t="s">
        <v>32</v>
      </c>
      <c r="G87" s="16" t="s">
        <v>69</v>
      </c>
      <c r="H87" s="17">
        <f t="shared" si="1"/>
        <v>0.25124999999999997</v>
      </c>
      <c r="I87" s="14">
        <v>8</v>
      </c>
      <c r="J87" s="20">
        <v>2.0099999999999998</v>
      </c>
      <c r="K87" s="139" t="s">
        <v>20</v>
      </c>
      <c r="L87" s="14" t="s">
        <v>187</v>
      </c>
      <c r="M87" s="153">
        <v>725</v>
      </c>
      <c r="N87" s="18">
        <f t="shared" si="0"/>
        <v>1457.2499999999998</v>
      </c>
      <c r="O87" s="19"/>
      <c r="P87" s="20"/>
      <c r="Q87" s="21"/>
      <c r="R87" s="33"/>
      <c r="S87" s="33"/>
      <c r="T87" s="33"/>
      <c r="U87" s="146"/>
    </row>
    <row r="88" spans="1:21" ht="16.95" customHeight="1" x14ac:dyDescent="0.2">
      <c r="A88" s="55"/>
      <c r="B88" s="20"/>
      <c r="C88" s="15"/>
      <c r="D88" s="14"/>
      <c r="E88" s="15"/>
      <c r="F88" s="20" t="s">
        <v>150</v>
      </c>
      <c r="G88" s="16" t="s">
        <v>19</v>
      </c>
      <c r="H88" s="17">
        <f t="shared" si="1"/>
        <v>0.10928571428571429</v>
      </c>
      <c r="I88" s="14">
        <v>14</v>
      </c>
      <c r="J88" s="20">
        <v>1.53</v>
      </c>
      <c r="K88" s="139" t="s">
        <v>20</v>
      </c>
      <c r="L88" s="14" t="s">
        <v>176</v>
      </c>
      <c r="M88" s="153">
        <v>525</v>
      </c>
      <c r="N88" s="18">
        <f t="shared" si="0"/>
        <v>803.25</v>
      </c>
      <c r="O88" s="19"/>
      <c r="P88" s="20"/>
      <c r="Q88" s="21"/>
      <c r="R88" s="33"/>
      <c r="S88" s="33"/>
      <c r="T88" s="33"/>
      <c r="U88" s="146"/>
    </row>
    <row r="89" spans="1:21" ht="16.95" customHeight="1" x14ac:dyDescent="0.2">
      <c r="A89" s="55"/>
      <c r="B89" s="20"/>
      <c r="C89" s="15"/>
      <c r="D89" s="14"/>
      <c r="E89" s="15"/>
      <c r="F89" s="20" t="s">
        <v>117</v>
      </c>
      <c r="G89" s="16" t="s">
        <v>75</v>
      </c>
      <c r="H89" s="17">
        <f t="shared" si="1"/>
        <v>0.15133333333333335</v>
      </c>
      <c r="I89" s="14">
        <v>15</v>
      </c>
      <c r="J89" s="20">
        <v>2.27</v>
      </c>
      <c r="K89" s="139" t="s">
        <v>20</v>
      </c>
      <c r="L89" s="14" t="s">
        <v>178</v>
      </c>
      <c r="M89" s="153">
        <v>675</v>
      </c>
      <c r="N89" s="18">
        <f t="shared" si="0"/>
        <v>1532.25</v>
      </c>
      <c r="O89" s="19"/>
      <c r="P89" s="20"/>
      <c r="Q89" s="21"/>
      <c r="R89" s="33"/>
      <c r="S89" s="33"/>
      <c r="T89" s="33"/>
      <c r="U89" s="146"/>
    </row>
    <row r="90" spans="1:21" ht="16.95" customHeight="1" x14ac:dyDescent="0.2">
      <c r="A90" s="56"/>
      <c r="B90" s="35"/>
      <c r="C90" s="57" t="s">
        <v>151</v>
      </c>
      <c r="D90" s="39"/>
      <c r="E90" s="36"/>
      <c r="F90" s="35" t="s">
        <v>22</v>
      </c>
      <c r="G90" s="37" t="s">
        <v>135</v>
      </c>
      <c r="H90" s="38">
        <f t="shared" si="1"/>
        <v>8.9154929577464792E-2</v>
      </c>
      <c r="I90" s="39">
        <v>71</v>
      </c>
      <c r="J90" s="35">
        <v>6.33</v>
      </c>
      <c r="K90" s="136" t="s">
        <v>52</v>
      </c>
      <c r="L90" s="39" t="s">
        <v>180</v>
      </c>
      <c r="M90" s="154">
        <v>475</v>
      </c>
      <c r="N90" s="40">
        <f t="shared" si="0"/>
        <v>3006.75</v>
      </c>
      <c r="O90" s="41">
        <v>103.5</v>
      </c>
      <c r="P90" s="35">
        <v>23.84</v>
      </c>
      <c r="Q90" s="58">
        <v>21.02</v>
      </c>
      <c r="R90" s="40">
        <f>Q90*O90</f>
        <v>2175.5700000000002</v>
      </c>
      <c r="S90" s="43">
        <v>500</v>
      </c>
      <c r="T90" s="43">
        <f>19*14.11</f>
        <v>268.08999999999997</v>
      </c>
      <c r="U90" s="150">
        <f>Table1[[#This Row],[Cert Exp]]+Table1[[#This Row],[Labour]]+Table1[[#This Row],[Gold Total]]+N84+N85+N86+N87+N88+N89+Table1[[#This Row],[Diam Total]]</f>
        <v>11170.41</v>
      </c>
    </row>
    <row r="91" spans="1:21" ht="16.95" customHeight="1" x14ac:dyDescent="0.2">
      <c r="A91" s="117"/>
      <c r="B91" s="90"/>
      <c r="C91" s="83"/>
      <c r="D91" s="84"/>
      <c r="E91" s="83"/>
      <c r="F91" s="90"/>
      <c r="G91" s="118"/>
      <c r="H91" s="90"/>
      <c r="I91" s="84"/>
      <c r="J91" s="90"/>
      <c r="K91" s="140"/>
      <c r="L91" s="84"/>
      <c r="M91" s="156"/>
      <c r="N91" s="124"/>
      <c r="O91" s="94"/>
      <c r="P91" s="90"/>
      <c r="Q91" s="119"/>
      <c r="R91" s="124"/>
      <c r="S91" s="124"/>
      <c r="T91" s="124"/>
      <c r="U91" s="147"/>
    </row>
    <row r="92" spans="1:21" ht="16.95" customHeight="1" x14ac:dyDescent="0.2">
      <c r="A92" s="54">
        <v>26</v>
      </c>
      <c r="B92" s="12" t="s">
        <v>192</v>
      </c>
      <c r="C92" s="5" t="s">
        <v>152</v>
      </c>
      <c r="D92" s="122" t="s">
        <v>14</v>
      </c>
      <c r="E92" s="5" t="s">
        <v>153</v>
      </c>
      <c r="F92" s="12" t="s">
        <v>109</v>
      </c>
      <c r="G92" s="8" t="s">
        <v>154</v>
      </c>
      <c r="H92" s="9">
        <f t="shared" si="1"/>
        <v>0.72</v>
      </c>
      <c r="I92" s="7">
        <v>1</v>
      </c>
      <c r="J92" s="12">
        <v>0.72</v>
      </c>
      <c r="K92" s="137" t="s">
        <v>20</v>
      </c>
      <c r="L92" s="7" t="s">
        <v>188</v>
      </c>
      <c r="M92" s="152">
        <v>1125</v>
      </c>
      <c r="N92" s="10">
        <f t="shared" si="0"/>
        <v>810</v>
      </c>
      <c r="O92" s="11"/>
      <c r="P92" s="12"/>
      <c r="Q92" s="13"/>
      <c r="R92" s="123"/>
      <c r="S92" s="123"/>
      <c r="T92" s="123"/>
      <c r="U92" s="145"/>
    </row>
    <row r="93" spans="1:21" ht="16.95" customHeight="1" x14ac:dyDescent="0.2">
      <c r="A93" s="55"/>
      <c r="B93" s="20"/>
      <c r="C93" s="15" t="s">
        <v>155</v>
      </c>
      <c r="D93" s="14"/>
      <c r="E93" s="15"/>
      <c r="F93" s="20" t="s">
        <v>109</v>
      </c>
      <c r="G93" s="16" t="s">
        <v>156</v>
      </c>
      <c r="H93" s="17">
        <f t="shared" si="1"/>
        <v>0.42250000000000004</v>
      </c>
      <c r="I93" s="14">
        <v>4</v>
      </c>
      <c r="J93" s="20">
        <v>1.6900000000000002</v>
      </c>
      <c r="K93" s="139"/>
      <c r="L93" s="14" t="s">
        <v>189</v>
      </c>
      <c r="M93" s="153">
        <v>875</v>
      </c>
      <c r="N93" s="18">
        <f t="shared" si="0"/>
        <v>1478.7500000000002</v>
      </c>
      <c r="O93" s="19"/>
      <c r="P93" s="20"/>
      <c r="Q93" s="21"/>
      <c r="R93" s="33"/>
      <c r="S93" s="33"/>
      <c r="T93" s="33"/>
      <c r="U93" s="146"/>
    </row>
    <row r="94" spans="1:21" ht="16.95" customHeight="1" x14ac:dyDescent="0.2">
      <c r="A94" s="55"/>
      <c r="B94" s="20"/>
      <c r="C94" s="15"/>
      <c r="D94" s="14"/>
      <c r="E94" s="15"/>
      <c r="F94" s="20" t="s">
        <v>109</v>
      </c>
      <c r="G94" s="16" t="s">
        <v>112</v>
      </c>
      <c r="H94" s="17">
        <f t="shared" si="1"/>
        <v>0.32222222222222219</v>
      </c>
      <c r="I94" s="14">
        <v>9</v>
      </c>
      <c r="J94" s="20">
        <v>2.9</v>
      </c>
      <c r="K94" s="139"/>
      <c r="L94" s="14" t="s">
        <v>182</v>
      </c>
      <c r="M94" s="153">
        <v>775</v>
      </c>
      <c r="N94" s="18">
        <f t="shared" si="0"/>
        <v>2247.5</v>
      </c>
      <c r="O94" s="19"/>
      <c r="P94" s="20"/>
      <c r="Q94" s="21"/>
      <c r="R94" s="33"/>
      <c r="S94" s="33"/>
      <c r="T94" s="33"/>
      <c r="U94" s="146"/>
    </row>
    <row r="95" spans="1:21" ht="16.95" customHeight="1" x14ac:dyDescent="0.2">
      <c r="A95" s="55"/>
      <c r="B95" s="20"/>
      <c r="C95" s="15"/>
      <c r="D95" s="14"/>
      <c r="E95" s="15"/>
      <c r="F95" s="20" t="s">
        <v>109</v>
      </c>
      <c r="G95" s="16" t="s">
        <v>69</v>
      </c>
      <c r="H95" s="17">
        <f t="shared" si="1"/>
        <v>0.23333333333333331</v>
      </c>
      <c r="I95" s="14">
        <v>3</v>
      </c>
      <c r="J95" s="20">
        <v>0.7</v>
      </c>
      <c r="K95" s="139"/>
      <c r="L95" s="14" t="s">
        <v>181</v>
      </c>
      <c r="M95" s="153">
        <v>725</v>
      </c>
      <c r="N95" s="18">
        <f t="shared" si="0"/>
        <v>507.49999999999994</v>
      </c>
      <c r="O95" s="19"/>
      <c r="P95" s="20"/>
      <c r="Q95" s="21"/>
      <c r="R95" s="33"/>
      <c r="S95" s="33"/>
      <c r="T95" s="33"/>
      <c r="U95" s="146"/>
    </row>
    <row r="96" spans="1:21" ht="16.95" customHeight="1" x14ac:dyDescent="0.2">
      <c r="A96" s="55"/>
      <c r="B96" s="20"/>
      <c r="C96" s="15"/>
      <c r="D96" s="14"/>
      <c r="E96" s="15"/>
      <c r="F96" s="20" t="s">
        <v>32</v>
      </c>
      <c r="G96" s="16" t="s">
        <v>156</v>
      </c>
      <c r="H96" s="17">
        <f t="shared" si="1"/>
        <v>0.41499999999999998</v>
      </c>
      <c r="I96" s="14">
        <v>4</v>
      </c>
      <c r="J96" s="20">
        <v>1.66</v>
      </c>
      <c r="K96" s="139"/>
      <c r="L96" s="14" t="s">
        <v>190</v>
      </c>
      <c r="M96" s="153">
        <v>915</v>
      </c>
      <c r="N96" s="18">
        <f t="shared" si="0"/>
        <v>1518.8999999999999</v>
      </c>
      <c r="O96" s="19"/>
      <c r="P96" s="20"/>
      <c r="Q96" s="21"/>
      <c r="R96" s="33"/>
      <c r="S96" s="33"/>
      <c r="T96" s="33"/>
      <c r="U96" s="146"/>
    </row>
    <row r="97" spans="1:21" ht="16.95" customHeight="1" x14ac:dyDescent="0.2">
      <c r="A97" s="55"/>
      <c r="B97" s="20"/>
      <c r="C97" s="15"/>
      <c r="D97" s="14"/>
      <c r="E97" s="15"/>
      <c r="F97" s="20" t="s">
        <v>32</v>
      </c>
      <c r="G97" s="16" t="s">
        <v>112</v>
      </c>
      <c r="H97" s="17">
        <f t="shared" si="1"/>
        <v>0.34166666666666662</v>
      </c>
      <c r="I97" s="14">
        <v>6</v>
      </c>
      <c r="J97" s="20">
        <v>2.0499999999999998</v>
      </c>
      <c r="K97" s="139"/>
      <c r="L97" s="14" t="s">
        <v>187</v>
      </c>
      <c r="M97" s="153">
        <v>775</v>
      </c>
      <c r="N97" s="18">
        <f t="shared" si="0"/>
        <v>1588.7499999999998</v>
      </c>
      <c r="O97" s="19"/>
      <c r="P97" s="20"/>
      <c r="Q97" s="21"/>
      <c r="R97" s="33"/>
      <c r="S97" s="33"/>
      <c r="T97" s="33"/>
      <c r="U97" s="146"/>
    </row>
    <row r="98" spans="1:21" ht="16.95" customHeight="1" x14ac:dyDescent="0.2">
      <c r="A98" s="55"/>
      <c r="B98" s="20"/>
      <c r="C98" s="15"/>
      <c r="D98" s="14"/>
      <c r="E98" s="15"/>
      <c r="F98" s="20" t="s">
        <v>32</v>
      </c>
      <c r="G98" s="16" t="s">
        <v>69</v>
      </c>
      <c r="H98" s="17">
        <f t="shared" si="1"/>
        <v>0.26750000000000002</v>
      </c>
      <c r="I98" s="14">
        <v>4</v>
      </c>
      <c r="J98" s="20">
        <v>1.07</v>
      </c>
      <c r="K98" s="139"/>
      <c r="L98" s="14" t="s">
        <v>187</v>
      </c>
      <c r="M98" s="153">
        <v>750</v>
      </c>
      <c r="N98" s="18">
        <f t="shared" si="0"/>
        <v>802.5</v>
      </c>
      <c r="O98" s="19"/>
      <c r="P98" s="20"/>
      <c r="Q98" s="21"/>
      <c r="R98" s="33"/>
      <c r="S98" s="33"/>
      <c r="T98" s="33"/>
      <c r="U98" s="146"/>
    </row>
    <row r="99" spans="1:21" ht="16.95" customHeight="1" x14ac:dyDescent="0.2">
      <c r="A99" s="56"/>
      <c r="B99" s="35"/>
      <c r="C99" s="57" t="s">
        <v>157</v>
      </c>
      <c r="D99" s="39"/>
      <c r="E99" s="36"/>
      <c r="F99" s="35" t="s">
        <v>22</v>
      </c>
      <c r="G99" s="37" t="s">
        <v>78</v>
      </c>
      <c r="H99" s="38">
        <f t="shared" si="1"/>
        <v>0.19107142857142856</v>
      </c>
      <c r="I99" s="39">
        <v>28</v>
      </c>
      <c r="J99" s="35">
        <v>5.35</v>
      </c>
      <c r="K99" s="136"/>
      <c r="L99" s="39" t="s">
        <v>191</v>
      </c>
      <c r="M99" s="154">
        <v>575</v>
      </c>
      <c r="N99" s="40">
        <f t="shared" si="0"/>
        <v>3076.25</v>
      </c>
      <c r="O99" s="41">
        <v>103.5</v>
      </c>
      <c r="P99" s="35">
        <v>23.95</v>
      </c>
      <c r="Q99" s="58">
        <v>20.722000000000001</v>
      </c>
      <c r="R99" s="40">
        <f>Q99*O99</f>
        <v>2144.7270000000003</v>
      </c>
      <c r="S99" s="43">
        <v>500</v>
      </c>
      <c r="T99" s="43">
        <f>19*16.14</f>
        <v>306.66000000000003</v>
      </c>
      <c r="U99" s="150">
        <f>Table1[[#This Row],[Cert Exp]]+Table1[[#This Row],[Labour]]+Table1[[#This Row],[Gold Total]]+N92+N93+N94+N95+N96+N97+N98+Table1[[#This Row],[Diam Total]]</f>
        <v>14981.537</v>
      </c>
    </row>
    <row r="100" spans="1:21" ht="16.95" customHeight="1" x14ac:dyDescent="0.2">
      <c r="A100" s="117"/>
      <c r="B100" s="90"/>
      <c r="C100" s="83"/>
      <c r="D100" s="84"/>
      <c r="E100" s="83"/>
      <c r="F100" s="90"/>
      <c r="G100" s="118"/>
      <c r="H100" s="90"/>
      <c r="I100" s="84"/>
      <c r="J100" s="90"/>
      <c r="K100" s="140"/>
      <c r="L100" s="84"/>
      <c r="M100" s="156"/>
      <c r="N100" s="124"/>
      <c r="O100" s="94"/>
      <c r="P100" s="90"/>
      <c r="Q100" s="119"/>
      <c r="R100" s="124"/>
      <c r="S100" s="124"/>
      <c r="T100" s="124"/>
      <c r="U100" s="147"/>
    </row>
    <row r="101" spans="1:21" ht="16.95" customHeight="1" x14ac:dyDescent="0.2">
      <c r="A101" s="54">
        <v>27</v>
      </c>
      <c r="B101" s="12" t="s">
        <v>192</v>
      </c>
      <c r="C101" s="5" t="s">
        <v>148</v>
      </c>
      <c r="D101" s="122" t="s">
        <v>14</v>
      </c>
      <c r="E101" s="5" t="s">
        <v>158</v>
      </c>
      <c r="F101" s="12" t="s">
        <v>22</v>
      </c>
      <c r="G101" s="8" t="s">
        <v>159</v>
      </c>
      <c r="H101" s="9">
        <f t="shared" si="1"/>
        <v>0.60399999999999998</v>
      </c>
      <c r="I101" s="7">
        <v>5</v>
      </c>
      <c r="J101" s="12">
        <v>3.02</v>
      </c>
      <c r="K101" s="137" t="s">
        <v>24</v>
      </c>
      <c r="L101" s="7" t="s">
        <v>177</v>
      </c>
      <c r="M101" s="152">
        <v>775</v>
      </c>
      <c r="N101" s="10">
        <f t="shared" si="0"/>
        <v>2340.5</v>
      </c>
      <c r="O101" s="11"/>
      <c r="P101" s="12"/>
      <c r="Q101" s="13"/>
      <c r="R101" s="123"/>
      <c r="S101" s="123"/>
      <c r="T101" s="123"/>
      <c r="U101" s="145"/>
    </row>
    <row r="102" spans="1:21" ht="16.95" customHeight="1" x14ac:dyDescent="0.2">
      <c r="A102" s="55"/>
      <c r="B102" s="20"/>
      <c r="C102" s="15"/>
      <c r="D102" s="14"/>
      <c r="E102" s="15"/>
      <c r="F102" s="20" t="s">
        <v>22</v>
      </c>
      <c r="G102" s="16" t="s">
        <v>160</v>
      </c>
      <c r="H102" s="17">
        <f t="shared" si="1"/>
        <v>0.5178571428571429</v>
      </c>
      <c r="I102" s="14">
        <v>14</v>
      </c>
      <c r="J102" s="20">
        <v>7.25</v>
      </c>
      <c r="K102" s="139"/>
      <c r="L102" s="14" t="s">
        <v>177</v>
      </c>
      <c r="M102" s="153">
        <v>775</v>
      </c>
      <c r="N102" s="18">
        <f t="shared" si="0"/>
        <v>5618.75</v>
      </c>
      <c r="O102" s="19"/>
      <c r="P102" s="20"/>
      <c r="Q102" s="21"/>
      <c r="R102" s="33"/>
      <c r="S102" s="33"/>
      <c r="T102" s="33"/>
      <c r="U102" s="146"/>
    </row>
    <row r="103" spans="1:21" ht="16.95" customHeight="1" x14ac:dyDescent="0.2">
      <c r="A103" s="55"/>
      <c r="B103" s="20"/>
      <c r="C103" s="15"/>
      <c r="D103" s="14"/>
      <c r="E103" s="15"/>
      <c r="F103" s="20" t="s">
        <v>161</v>
      </c>
      <c r="G103" s="16" t="s">
        <v>69</v>
      </c>
      <c r="H103" s="17">
        <f t="shared" si="1"/>
        <v>0.254</v>
      </c>
      <c r="I103" s="14">
        <v>20</v>
      </c>
      <c r="J103" s="20">
        <v>5.08</v>
      </c>
      <c r="K103" s="139" t="s">
        <v>20</v>
      </c>
      <c r="L103" s="14" t="s">
        <v>177</v>
      </c>
      <c r="M103" s="153">
        <v>725</v>
      </c>
      <c r="N103" s="18">
        <f t="shared" si="0"/>
        <v>3683</v>
      </c>
      <c r="O103" s="19"/>
      <c r="P103" s="20"/>
      <c r="Q103" s="21"/>
      <c r="R103" s="33"/>
      <c r="S103" s="33"/>
      <c r="T103" s="33"/>
      <c r="U103" s="146"/>
    </row>
    <row r="104" spans="1:21" ht="16.95" customHeight="1" x14ac:dyDescent="0.2">
      <c r="A104" s="55"/>
      <c r="B104" s="20"/>
      <c r="C104" s="15"/>
      <c r="D104" s="14"/>
      <c r="E104" s="15"/>
      <c r="F104" s="20" t="s">
        <v>32</v>
      </c>
      <c r="G104" s="16" t="s">
        <v>69</v>
      </c>
      <c r="H104" s="17">
        <f t="shared" si="1"/>
        <v>0.23499999999999999</v>
      </c>
      <c r="I104" s="14">
        <v>8</v>
      </c>
      <c r="J104" s="20">
        <v>1.88</v>
      </c>
      <c r="K104" s="139"/>
      <c r="L104" s="14" t="s">
        <v>187</v>
      </c>
      <c r="M104" s="153">
        <v>725</v>
      </c>
      <c r="N104" s="18">
        <f t="shared" si="0"/>
        <v>1363</v>
      </c>
      <c r="O104" s="19"/>
      <c r="P104" s="20"/>
      <c r="Q104" s="21"/>
      <c r="R104" s="33"/>
      <c r="S104" s="33"/>
      <c r="T104" s="33"/>
      <c r="U104" s="146"/>
    </row>
    <row r="105" spans="1:21" ht="16.95" customHeight="1" x14ac:dyDescent="0.2">
      <c r="A105" s="55"/>
      <c r="B105" s="20"/>
      <c r="C105" s="15"/>
      <c r="D105" s="14"/>
      <c r="E105" s="15"/>
      <c r="F105" s="20" t="s">
        <v>32</v>
      </c>
      <c r="G105" s="16" t="s">
        <v>78</v>
      </c>
      <c r="H105" s="17">
        <f t="shared" si="1"/>
        <v>0.18666666666666668</v>
      </c>
      <c r="I105" s="14">
        <v>3</v>
      </c>
      <c r="J105" s="20">
        <v>0.56000000000000005</v>
      </c>
      <c r="K105" s="139"/>
      <c r="L105" s="14" t="s">
        <v>181</v>
      </c>
      <c r="M105" s="153">
        <v>675</v>
      </c>
      <c r="N105" s="18">
        <f t="shared" si="0"/>
        <v>378.00000000000006</v>
      </c>
      <c r="O105" s="19"/>
      <c r="P105" s="20"/>
      <c r="Q105" s="21"/>
      <c r="R105" s="33"/>
      <c r="S105" s="33"/>
      <c r="T105" s="33"/>
      <c r="U105" s="146"/>
    </row>
    <row r="106" spans="1:21" ht="16.95" customHeight="1" x14ac:dyDescent="0.2">
      <c r="A106" s="55"/>
      <c r="B106" s="20"/>
      <c r="C106" s="15"/>
      <c r="D106" s="14"/>
      <c r="E106" s="15"/>
      <c r="F106" s="20" t="s">
        <v>32</v>
      </c>
      <c r="G106" s="16" t="s">
        <v>75</v>
      </c>
      <c r="H106" s="17">
        <f t="shared" si="1"/>
        <v>0.14444444444444446</v>
      </c>
      <c r="I106" s="14">
        <v>9</v>
      </c>
      <c r="J106" s="20">
        <v>1.3</v>
      </c>
      <c r="K106" s="139"/>
      <c r="L106" s="14" t="s">
        <v>174</v>
      </c>
      <c r="M106" s="153">
        <v>625</v>
      </c>
      <c r="N106" s="18">
        <f t="shared" si="0"/>
        <v>812.5</v>
      </c>
      <c r="O106" s="19"/>
      <c r="P106" s="20"/>
      <c r="Q106" s="21"/>
      <c r="R106" s="33"/>
      <c r="S106" s="33"/>
      <c r="T106" s="33"/>
      <c r="U106" s="146"/>
    </row>
    <row r="107" spans="1:21" ht="16.95" customHeight="1" x14ac:dyDescent="0.2">
      <c r="A107" s="55"/>
      <c r="B107" s="20"/>
      <c r="C107" s="15"/>
      <c r="D107" s="14"/>
      <c r="E107" s="15"/>
      <c r="F107" s="20" t="s">
        <v>109</v>
      </c>
      <c r="G107" s="16" t="s">
        <v>78</v>
      </c>
      <c r="H107" s="17">
        <f t="shared" si="1"/>
        <v>0.18555555555555556</v>
      </c>
      <c r="I107" s="14">
        <v>9</v>
      </c>
      <c r="J107" s="20">
        <v>1.67</v>
      </c>
      <c r="K107" s="139"/>
      <c r="L107" s="14" t="s">
        <v>183</v>
      </c>
      <c r="M107" s="153">
        <v>675</v>
      </c>
      <c r="N107" s="18">
        <f t="shared" si="0"/>
        <v>1127.25</v>
      </c>
      <c r="O107" s="19"/>
      <c r="P107" s="20"/>
      <c r="Q107" s="21"/>
      <c r="R107" s="33"/>
      <c r="S107" s="33"/>
      <c r="T107" s="33"/>
      <c r="U107" s="146"/>
    </row>
    <row r="108" spans="1:21" ht="16.95" customHeight="1" x14ac:dyDescent="0.2">
      <c r="A108" s="56"/>
      <c r="B108" s="35"/>
      <c r="C108" s="57" t="s">
        <v>162</v>
      </c>
      <c r="D108" s="39"/>
      <c r="E108" s="36"/>
      <c r="F108" s="35" t="s">
        <v>109</v>
      </c>
      <c r="G108" s="37" t="s">
        <v>75</v>
      </c>
      <c r="H108" s="38">
        <f t="shared" si="1"/>
        <v>0.152</v>
      </c>
      <c r="I108" s="39">
        <v>10</v>
      </c>
      <c r="J108" s="35">
        <v>1.52</v>
      </c>
      <c r="K108" s="136"/>
      <c r="L108" s="39" t="s">
        <v>179</v>
      </c>
      <c r="M108" s="154">
        <v>625</v>
      </c>
      <c r="N108" s="40">
        <f t="shared" si="0"/>
        <v>950</v>
      </c>
      <c r="O108" s="41">
        <v>103.5</v>
      </c>
      <c r="P108" s="35">
        <v>25.45</v>
      </c>
      <c r="Q108" s="58">
        <v>20.994</v>
      </c>
      <c r="R108" s="40">
        <f>Q108*O108</f>
        <v>2172.8789999999999</v>
      </c>
      <c r="S108" s="43">
        <v>500</v>
      </c>
      <c r="T108" s="43">
        <f>19*22.28</f>
        <v>423.32000000000005</v>
      </c>
      <c r="U108" s="150">
        <f>Table1[[#This Row],[Cert Exp]]+Table1[[#This Row],[Labour]]+Table1[[#This Row],[Gold Total]]+N101+N102+N103+N104+N105+N106+N107+Table1[[#This Row],[Diam Total]]</f>
        <v>19369.199000000001</v>
      </c>
    </row>
    <row r="109" spans="1:21" ht="16.95" customHeight="1" x14ac:dyDescent="0.2">
      <c r="A109" s="117"/>
      <c r="B109" s="90"/>
      <c r="C109" s="83"/>
      <c r="D109" s="84"/>
      <c r="E109" s="83"/>
      <c r="F109" s="90"/>
      <c r="G109" s="118"/>
      <c r="H109" s="90"/>
      <c r="I109" s="84"/>
      <c r="J109" s="90"/>
      <c r="K109" s="140"/>
      <c r="L109" s="84"/>
      <c r="M109" s="156"/>
      <c r="N109" s="124"/>
      <c r="O109" s="94"/>
      <c r="P109" s="90"/>
      <c r="Q109" s="119"/>
      <c r="R109" s="124"/>
      <c r="S109" s="124"/>
      <c r="T109" s="124"/>
      <c r="U109" s="147"/>
    </row>
    <row r="110" spans="1:21" ht="16.95" customHeight="1" x14ac:dyDescent="0.2">
      <c r="A110" s="54">
        <v>28</v>
      </c>
      <c r="B110" s="12" t="s">
        <v>192</v>
      </c>
      <c r="C110" s="5" t="s">
        <v>163</v>
      </c>
      <c r="D110" s="125" t="s">
        <v>14</v>
      </c>
      <c r="E110" s="196">
        <v>250000019054</v>
      </c>
      <c r="F110" s="12" t="s">
        <v>109</v>
      </c>
      <c r="G110" s="8" t="s">
        <v>154</v>
      </c>
      <c r="H110" s="9">
        <f t="shared" si="1"/>
        <v>0.71</v>
      </c>
      <c r="I110" s="7">
        <v>1</v>
      </c>
      <c r="J110" s="12">
        <v>0.71</v>
      </c>
      <c r="K110" s="137" t="s">
        <v>164</v>
      </c>
      <c r="L110" s="7" t="s">
        <v>188</v>
      </c>
      <c r="M110" s="152">
        <v>1025</v>
      </c>
      <c r="N110" s="10">
        <f t="shared" si="0"/>
        <v>727.75</v>
      </c>
      <c r="O110" s="11"/>
      <c r="P110" s="12"/>
      <c r="Q110" s="13"/>
      <c r="R110" s="123"/>
      <c r="S110" s="123"/>
      <c r="T110" s="123"/>
      <c r="U110" s="145"/>
    </row>
    <row r="111" spans="1:21" ht="16.95" customHeight="1" x14ac:dyDescent="0.2">
      <c r="A111" s="55"/>
      <c r="B111" s="20"/>
      <c r="C111" s="22" t="s">
        <v>165</v>
      </c>
      <c r="D111" s="34" t="s">
        <v>14</v>
      </c>
      <c r="E111" s="197">
        <v>250000019053</v>
      </c>
      <c r="F111" s="20" t="s">
        <v>109</v>
      </c>
      <c r="G111" s="16" t="s">
        <v>154</v>
      </c>
      <c r="H111" s="17">
        <f t="shared" si="1"/>
        <v>0.71</v>
      </c>
      <c r="I111" s="14">
        <v>1</v>
      </c>
      <c r="J111" s="20">
        <v>0.71</v>
      </c>
      <c r="K111" s="139" t="s">
        <v>166</v>
      </c>
      <c r="L111" s="14" t="s">
        <v>188</v>
      </c>
      <c r="M111" s="153">
        <v>1025</v>
      </c>
      <c r="N111" s="18">
        <f t="shared" si="0"/>
        <v>727.75</v>
      </c>
      <c r="O111" s="19"/>
      <c r="P111" s="20"/>
      <c r="Q111" s="21"/>
      <c r="R111" s="33"/>
      <c r="S111" s="33"/>
      <c r="T111" s="33"/>
      <c r="U111" s="146"/>
    </row>
    <row r="112" spans="1:21" ht="16.95" customHeight="1" x14ac:dyDescent="0.2">
      <c r="A112" s="55"/>
      <c r="B112" s="20"/>
      <c r="C112" s="15" t="s">
        <v>167</v>
      </c>
      <c r="D112" s="24" t="s">
        <v>14</v>
      </c>
      <c r="E112" s="15" t="s">
        <v>168</v>
      </c>
      <c r="F112" s="20" t="s">
        <v>109</v>
      </c>
      <c r="G112" s="16" t="s">
        <v>69</v>
      </c>
      <c r="H112" s="17">
        <f t="shared" si="1"/>
        <v>0.24083333333333334</v>
      </c>
      <c r="I112" s="14">
        <v>12</v>
      </c>
      <c r="J112" s="20">
        <v>2.89</v>
      </c>
      <c r="K112" s="139" t="s">
        <v>56</v>
      </c>
      <c r="L112" s="14" t="s">
        <v>182</v>
      </c>
      <c r="M112" s="153">
        <v>725</v>
      </c>
      <c r="N112" s="18">
        <f t="shared" si="0"/>
        <v>2095.25</v>
      </c>
      <c r="O112" s="19"/>
      <c r="P112" s="20"/>
      <c r="Q112" s="21"/>
      <c r="R112" s="33"/>
      <c r="S112" s="33"/>
      <c r="T112" s="33"/>
      <c r="U112" s="146"/>
    </row>
    <row r="113" spans="1:21" ht="16.95" customHeight="1" x14ac:dyDescent="0.2">
      <c r="A113" s="55"/>
      <c r="B113" s="20"/>
      <c r="C113" s="15"/>
      <c r="D113" s="14"/>
      <c r="E113" s="15"/>
      <c r="F113" s="20" t="s">
        <v>109</v>
      </c>
      <c r="G113" s="16" t="s">
        <v>78</v>
      </c>
      <c r="H113" s="17">
        <f t="shared" si="1"/>
        <v>0.18735294117647058</v>
      </c>
      <c r="I113" s="14">
        <v>34</v>
      </c>
      <c r="J113" s="20">
        <v>6.37</v>
      </c>
      <c r="K113" s="139"/>
      <c r="L113" s="14" t="s">
        <v>183</v>
      </c>
      <c r="M113" s="153">
        <v>625</v>
      </c>
      <c r="N113" s="18">
        <f t="shared" si="0"/>
        <v>3981.25</v>
      </c>
      <c r="O113" s="19"/>
      <c r="P113" s="20"/>
      <c r="Q113" s="21"/>
      <c r="R113" s="33"/>
      <c r="S113" s="33"/>
      <c r="T113" s="33"/>
      <c r="U113" s="146"/>
    </row>
    <row r="114" spans="1:21" ht="16.95" customHeight="1" x14ac:dyDescent="0.2">
      <c r="A114" s="55"/>
      <c r="B114" s="20"/>
      <c r="C114" s="15"/>
      <c r="D114" s="14"/>
      <c r="E114" s="15"/>
      <c r="F114" s="20" t="s">
        <v>109</v>
      </c>
      <c r="G114" s="16" t="s">
        <v>75</v>
      </c>
      <c r="H114" s="17">
        <f t="shared" si="1"/>
        <v>0.13833333333333334</v>
      </c>
      <c r="I114" s="14">
        <v>42</v>
      </c>
      <c r="J114" s="20">
        <v>5.81</v>
      </c>
      <c r="K114" s="139"/>
      <c r="L114" s="14" t="s">
        <v>174</v>
      </c>
      <c r="M114" s="153">
        <v>575</v>
      </c>
      <c r="N114" s="18">
        <f t="shared" si="0"/>
        <v>3340.75</v>
      </c>
      <c r="O114" s="19"/>
      <c r="P114" s="20"/>
      <c r="Q114" s="21"/>
      <c r="R114" s="33"/>
      <c r="S114" s="33"/>
      <c r="T114" s="33"/>
      <c r="U114" s="146"/>
    </row>
    <row r="115" spans="1:21" ht="16.95" customHeight="1" x14ac:dyDescent="0.2">
      <c r="A115" s="56"/>
      <c r="B115" s="35"/>
      <c r="C115" s="36"/>
      <c r="D115" s="39"/>
      <c r="E115" s="36"/>
      <c r="F115" s="35" t="s">
        <v>109</v>
      </c>
      <c r="G115" s="37" t="s">
        <v>19</v>
      </c>
      <c r="H115" s="38">
        <f t="shared" si="1"/>
        <v>8.8627450980392153E-2</v>
      </c>
      <c r="I115" s="39">
        <v>102</v>
      </c>
      <c r="J115" s="35">
        <v>9.0399999999999991</v>
      </c>
      <c r="K115" s="136"/>
      <c r="L115" s="39" t="s">
        <v>176</v>
      </c>
      <c r="M115" s="154">
        <v>525</v>
      </c>
      <c r="N115" s="40">
        <f t="shared" si="0"/>
        <v>4746</v>
      </c>
      <c r="O115" s="41">
        <v>103.5</v>
      </c>
      <c r="P115" s="35">
        <v>31.26</v>
      </c>
      <c r="Q115" s="42">
        <v>26.154</v>
      </c>
      <c r="R115" s="40">
        <f>Q115*O115</f>
        <v>2706.9389999999999</v>
      </c>
      <c r="S115" s="43">
        <v>650</v>
      </c>
      <c r="T115" s="43">
        <f>19*25.53</f>
        <v>485.07000000000005</v>
      </c>
      <c r="U115" s="150">
        <f>Table1[[#This Row],[Cert Exp]]+Table1[[#This Row],[Labour]]+Table1[[#This Row],[Gold Total]]+N110+N111+N112+N113+N114+Table1[[#This Row],[Diam Total]]</f>
        <v>19460.758999999998</v>
      </c>
    </row>
    <row r="116" spans="1:21" ht="16.95" customHeight="1" x14ac:dyDescent="0.2">
      <c r="A116" s="165"/>
      <c r="B116" s="166"/>
      <c r="C116" s="167"/>
      <c r="D116" s="168"/>
      <c r="E116" s="167"/>
      <c r="F116" s="166"/>
      <c r="G116" s="169"/>
      <c r="H116" s="170"/>
      <c r="I116" s="168"/>
      <c r="J116" s="171"/>
      <c r="K116" s="172"/>
      <c r="L116" s="173"/>
      <c r="M116" s="174"/>
      <c r="N116" s="175"/>
      <c r="O116" s="176"/>
      <c r="P116" s="166"/>
      <c r="Q116" s="178"/>
      <c r="R116" s="177"/>
      <c r="S116" s="177"/>
      <c r="T116" s="177"/>
      <c r="U116" s="179"/>
    </row>
    <row r="117" spans="1:21" ht="16.95" customHeight="1" x14ac:dyDescent="0.2">
      <c r="A117" s="54">
        <v>29</v>
      </c>
      <c r="B117" s="12" t="s">
        <v>192</v>
      </c>
      <c r="C117" s="5" t="s">
        <v>193</v>
      </c>
      <c r="D117" s="6" t="s">
        <v>14</v>
      </c>
      <c r="E117" s="5" t="s">
        <v>194</v>
      </c>
      <c r="F117" s="7" t="s">
        <v>22</v>
      </c>
      <c r="G117" s="8" t="s">
        <v>112</v>
      </c>
      <c r="H117" s="9">
        <f t="shared" si="1"/>
        <v>0.31690909090909092</v>
      </c>
      <c r="I117" s="7">
        <v>55</v>
      </c>
      <c r="J117" s="12">
        <v>17.43</v>
      </c>
      <c r="K117" s="137" t="s">
        <v>195</v>
      </c>
      <c r="L117" s="7" t="s">
        <v>174</v>
      </c>
      <c r="M117" s="152">
        <v>600</v>
      </c>
      <c r="N117" s="11">
        <f>Table1[[#This Row],[Per/ct2]]*Table1[[#This Row],[Diam Cts]]</f>
        <v>10458</v>
      </c>
      <c r="O117" s="11">
        <v>103.5</v>
      </c>
      <c r="P117" s="12">
        <v>27.95</v>
      </c>
      <c r="Q117" s="80">
        <v>24.463999999999999</v>
      </c>
      <c r="R117" s="11">
        <f>Table1[[#This Row],[Net Gm]]*Table1[[#This Row],[Gold/gm]]</f>
        <v>2532.0239999999999</v>
      </c>
      <c r="S117" s="11">
        <v>500</v>
      </c>
      <c r="T117" s="11">
        <f>19*17.43</f>
        <v>331.17</v>
      </c>
      <c r="U117" s="192">
        <f>Table1[[#This Row],[Cert Exp]]+Table1[[#This Row],[Labour]]+Table1[[#This Row],[Gold Total]]+Table1[[#This Row],[Diam Total]]</f>
        <v>13821.194</v>
      </c>
    </row>
    <row r="118" spans="1:21" ht="16.95" customHeight="1" x14ac:dyDescent="0.2">
      <c r="A118" s="56"/>
      <c r="B118" s="35"/>
      <c r="C118" s="57" t="s">
        <v>196</v>
      </c>
      <c r="D118" s="36"/>
      <c r="E118" s="36"/>
      <c r="F118" s="39"/>
      <c r="G118" s="37"/>
      <c r="H118" s="38"/>
      <c r="I118" s="39"/>
      <c r="J118" s="35"/>
      <c r="K118" s="136"/>
      <c r="L118" s="39"/>
      <c r="M118" s="154"/>
      <c r="N118" s="41"/>
      <c r="O118" s="41"/>
      <c r="P118" s="35"/>
      <c r="Q118" s="58"/>
      <c r="R118" s="41"/>
      <c r="S118" s="41"/>
      <c r="T118" s="41"/>
      <c r="U118" s="190"/>
    </row>
    <row r="119" spans="1:21" ht="16.95" customHeight="1" x14ac:dyDescent="0.2">
      <c r="A119" s="182"/>
      <c r="B119" s="183"/>
      <c r="C119" s="184"/>
      <c r="D119" s="181"/>
      <c r="E119" s="184"/>
      <c r="F119" s="182"/>
      <c r="G119" s="185"/>
      <c r="H119" s="186"/>
      <c r="I119" s="182"/>
      <c r="J119" s="183"/>
      <c r="K119" s="194"/>
      <c r="L119" s="182"/>
      <c r="M119" s="191"/>
      <c r="N119" s="1"/>
      <c r="O119" s="1"/>
      <c r="P119" s="183"/>
      <c r="Q119" s="187"/>
      <c r="R119" s="1"/>
      <c r="S119" s="1"/>
      <c r="T119" s="1"/>
      <c r="U119" s="1"/>
    </row>
    <row r="120" spans="1:21" ht="16.95" customHeight="1" x14ac:dyDescent="0.2">
      <c r="A120" s="54">
        <v>30</v>
      </c>
      <c r="B120" s="12" t="s">
        <v>192</v>
      </c>
      <c r="C120" s="5" t="s">
        <v>197</v>
      </c>
      <c r="D120" s="122" t="s">
        <v>14</v>
      </c>
      <c r="E120" s="5" t="s">
        <v>198</v>
      </c>
      <c r="F120" s="7" t="s">
        <v>22</v>
      </c>
      <c r="G120" s="8" t="s">
        <v>17</v>
      </c>
      <c r="H120" s="9">
        <f t="shared" ref="H120:H142" si="2">J120/I120</f>
        <v>1.01</v>
      </c>
      <c r="I120" s="7">
        <v>1</v>
      </c>
      <c r="J120" s="12">
        <v>1.01</v>
      </c>
      <c r="K120" s="137" t="s">
        <v>199</v>
      </c>
      <c r="L120" s="7" t="s">
        <v>172</v>
      </c>
      <c r="M120" s="152">
        <v>1425</v>
      </c>
      <c r="N120" s="11">
        <f>Table1[[#This Row],[Per/ct2]]*Table1[[#This Row],[Diam Cts]]</f>
        <v>1439.25</v>
      </c>
      <c r="O120" s="11"/>
      <c r="P120" s="12"/>
      <c r="Q120" s="13"/>
      <c r="R120" s="11"/>
      <c r="S120" s="11"/>
      <c r="T120" s="11"/>
      <c r="U120" s="188"/>
    </row>
    <row r="121" spans="1:21" ht="16.95" customHeight="1" x14ac:dyDescent="0.2">
      <c r="A121" s="55"/>
      <c r="B121" s="20"/>
      <c r="C121" s="22" t="s">
        <v>200</v>
      </c>
      <c r="D121" s="15"/>
      <c r="E121" s="15"/>
      <c r="F121" s="14" t="s">
        <v>22</v>
      </c>
      <c r="G121" s="16" t="s">
        <v>160</v>
      </c>
      <c r="H121" s="17">
        <f t="shared" si="2"/>
        <v>0.5</v>
      </c>
      <c r="I121" s="14">
        <v>2</v>
      </c>
      <c r="J121" s="20">
        <v>1</v>
      </c>
      <c r="K121" s="139"/>
      <c r="L121" s="14" t="s">
        <v>187</v>
      </c>
      <c r="M121" s="153">
        <v>775</v>
      </c>
      <c r="N121" s="19">
        <f>Table1[[#This Row],[Per/ct2]]*Table1[[#This Row],[Diam Cts]]</f>
        <v>775</v>
      </c>
      <c r="O121" s="19"/>
      <c r="P121" s="20"/>
      <c r="Q121" s="21"/>
      <c r="R121" s="19"/>
      <c r="S121" s="19"/>
      <c r="T121" s="19"/>
      <c r="U121" s="189"/>
    </row>
    <row r="122" spans="1:21" ht="16.95" customHeight="1" x14ac:dyDescent="0.2">
      <c r="A122" s="55"/>
      <c r="B122" s="20"/>
      <c r="C122" s="15" t="s">
        <v>201</v>
      </c>
      <c r="D122" s="15"/>
      <c r="E122" s="15"/>
      <c r="F122" s="14" t="s">
        <v>22</v>
      </c>
      <c r="G122" s="16" t="s">
        <v>202</v>
      </c>
      <c r="H122" s="17">
        <f t="shared" si="2"/>
        <v>0.46500000000000002</v>
      </c>
      <c r="I122" s="14">
        <v>2</v>
      </c>
      <c r="J122" s="20">
        <v>0.93</v>
      </c>
      <c r="K122" s="139"/>
      <c r="L122" s="14" t="s">
        <v>177</v>
      </c>
      <c r="M122" s="153">
        <v>715</v>
      </c>
      <c r="N122" s="19">
        <f>Table1[[#This Row],[Per/ct2]]*Table1[[#This Row],[Diam Cts]]</f>
        <v>664.95</v>
      </c>
      <c r="O122" s="19"/>
      <c r="P122" s="20"/>
      <c r="Q122" s="21"/>
      <c r="R122" s="19"/>
      <c r="S122" s="19"/>
      <c r="T122" s="19"/>
      <c r="U122" s="189"/>
    </row>
    <row r="123" spans="1:21" ht="16.95" customHeight="1" x14ac:dyDescent="0.2">
      <c r="A123" s="55"/>
      <c r="B123" s="20"/>
      <c r="C123" s="15" t="s">
        <v>203</v>
      </c>
      <c r="D123" s="15"/>
      <c r="E123" s="15"/>
      <c r="F123" s="14" t="s">
        <v>22</v>
      </c>
      <c r="G123" s="16" t="s">
        <v>112</v>
      </c>
      <c r="H123" s="17">
        <f t="shared" si="2"/>
        <v>0.318</v>
      </c>
      <c r="I123" s="14">
        <v>10</v>
      </c>
      <c r="J123" s="20">
        <v>3.18</v>
      </c>
      <c r="K123" s="139"/>
      <c r="L123" s="14" t="s">
        <v>174</v>
      </c>
      <c r="M123" s="153">
        <v>625</v>
      </c>
      <c r="N123" s="19">
        <f>Table1[[#This Row],[Per/ct2]]*Table1[[#This Row],[Diam Cts]]</f>
        <v>1987.5</v>
      </c>
      <c r="O123" s="19"/>
      <c r="P123" s="20"/>
      <c r="Q123" s="21"/>
      <c r="R123" s="19"/>
      <c r="S123" s="19"/>
      <c r="T123" s="19"/>
      <c r="U123" s="189"/>
    </row>
    <row r="124" spans="1:21" ht="16.95" customHeight="1" x14ac:dyDescent="0.2">
      <c r="A124" s="55"/>
      <c r="B124" s="20"/>
      <c r="C124" s="15"/>
      <c r="D124" s="15"/>
      <c r="E124" s="15"/>
      <c r="F124" s="14" t="s">
        <v>22</v>
      </c>
      <c r="G124" s="16" t="s">
        <v>69</v>
      </c>
      <c r="H124" s="17">
        <f t="shared" si="2"/>
        <v>0.23666666666666666</v>
      </c>
      <c r="I124" s="14">
        <v>6</v>
      </c>
      <c r="J124" s="20">
        <v>1.42</v>
      </c>
      <c r="K124" s="139"/>
      <c r="L124" s="14" t="s">
        <v>174</v>
      </c>
      <c r="M124" s="153">
        <v>600</v>
      </c>
      <c r="N124" s="19">
        <f>Table1[[#This Row],[Per/ct2]]*Table1[[#This Row],[Diam Cts]]</f>
        <v>852</v>
      </c>
      <c r="O124" s="19"/>
      <c r="P124" s="20"/>
      <c r="Q124" s="21"/>
      <c r="R124" s="19"/>
      <c r="S124" s="19"/>
      <c r="T124" s="19"/>
      <c r="U124" s="189"/>
    </row>
    <row r="125" spans="1:21" ht="16.95" customHeight="1" x14ac:dyDescent="0.2">
      <c r="A125" s="55"/>
      <c r="B125" s="20"/>
      <c r="C125" s="15"/>
      <c r="D125" s="15"/>
      <c r="E125" s="15"/>
      <c r="F125" s="14" t="s">
        <v>22</v>
      </c>
      <c r="G125" s="16" t="s">
        <v>78</v>
      </c>
      <c r="H125" s="17">
        <f t="shared" si="2"/>
        <v>0.18</v>
      </c>
      <c r="I125" s="14">
        <v>4</v>
      </c>
      <c r="J125" s="20">
        <v>0.72</v>
      </c>
      <c r="K125" s="139"/>
      <c r="L125" s="14" t="s">
        <v>179</v>
      </c>
      <c r="M125" s="153">
        <v>550</v>
      </c>
      <c r="N125" s="19">
        <f>Table1[[#This Row],[Per/ct2]]*Table1[[#This Row],[Diam Cts]]</f>
        <v>396</v>
      </c>
      <c r="O125" s="19"/>
      <c r="P125" s="20"/>
      <c r="Q125" s="21"/>
      <c r="R125" s="19"/>
      <c r="S125" s="19"/>
      <c r="T125" s="19"/>
      <c r="U125" s="189"/>
    </row>
    <row r="126" spans="1:21" ht="16.95" customHeight="1" x14ac:dyDescent="0.2">
      <c r="A126" s="55"/>
      <c r="B126" s="20"/>
      <c r="C126" s="15"/>
      <c r="D126" s="15"/>
      <c r="E126" s="15"/>
      <c r="F126" s="14" t="s">
        <v>22</v>
      </c>
      <c r="G126" s="16" t="s">
        <v>204</v>
      </c>
      <c r="H126" s="17">
        <f t="shared" si="2"/>
        <v>0.125</v>
      </c>
      <c r="I126" s="14">
        <v>6</v>
      </c>
      <c r="J126" s="20">
        <v>0.75</v>
      </c>
      <c r="K126" s="139"/>
      <c r="L126" s="14" t="s">
        <v>176</v>
      </c>
      <c r="M126" s="153">
        <v>515</v>
      </c>
      <c r="N126" s="19">
        <f>Table1[[#This Row],[Per/ct2]]*Table1[[#This Row],[Diam Cts]]</f>
        <v>386.25</v>
      </c>
      <c r="O126" s="19"/>
      <c r="P126" s="20"/>
      <c r="Q126" s="21"/>
      <c r="R126" s="19"/>
      <c r="S126" s="19"/>
      <c r="T126" s="19"/>
      <c r="U126" s="189"/>
    </row>
    <row r="127" spans="1:21" ht="16.95" customHeight="1" x14ac:dyDescent="0.2">
      <c r="A127" s="55"/>
      <c r="B127" s="20"/>
      <c r="C127" s="15"/>
      <c r="D127" s="15"/>
      <c r="E127" s="15"/>
      <c r="F127" s="14" t="s">
        <v>22</v>
      </c>
      <c r="G127" s="16" t="s">
        <v>80</v>
      </c>
      <c r="H127" s="17">
        <f t="shared" si="2"/>
        <v>8.7499999999999994E-2</v>
      </c>
      <c r="I127" s="14">
        <v>4</v>
      </c>
      <c r="J127" s="20">
        <v>0.35</v>
      </c>
      <c r="K127" s="139"/>
      <c r="L127" s="14" t="s">
        <v>180</v>
      </c>
      <c r="M127" s="153">
        <v>475</v>
      </c>
      <c r="N127" s="19">
        <f>Table1[[#This Row],[Per/ct2]]*Table1[[#This Row],[Diam Cts]]</f>
        <v>166.25</v>
      </c>
      <c r="O127" s="19"/>
      <c r="P127" s="20"/>
      <c r="Q127" s="21"/>
      <c r="R127" s="19"/>
      <c r="S127" s="19"/>
      <c r="T127" s="19"/>
      <c r="U127" s="189"/>
    </row>
    <row r="128" spans="1:21" ht="16.95" customHeight="1" x14ac:dyDescent="0.2">
      <c r="A128" s="55"/>
      <c r="B128" s="20"/>
      <c r="C128" s="15"/>
      <c r="D128" s="15"/>
      <c r="E128" s="15"/>
      <c r="F128" s="14" t="s">
        <v>22</v>
      </c>
      <c r="G128" s="16" t="s">
        <v>205</v>
      </c>
      <c r="H128" s="17">
        <f t="shared" si="2"/>
        <v>4.2692307692307696E-2</v>
      </c>
      <c r="I128" s="14">
        <v>26</v>
      </c>
      <c r="J128" s="20">
        <v>1.1100000000000001</v>
      </c>
      <c r="K128" s="139"/>
      <c r="L128" s="14" t="s">
        <v>173</v>
      </c>
      <c r="M128" s="153">
        <v>350</v>
      </c>
      <c r="N128" s="19">
        <f>Table1[[#This Row],[Per/ct2]]*Table1[[#This Row],[Diam Cts]]</f>
        <v>388.50000000000006</v>
      </c>
      <c r="O128" s="19"/>
      <c r="P128" s="20"/>
      <c r="Q128" s="21"/>
      <c r="R128" s="19"/>
      <c r="S128" s="19"/>
      <c r="T128" s="19"/>
      <c r="U128" s="189"/>
    </row>
    <row r="129" spans="1:21" ht="16.95" customHeight="1" x14ac:dyDescent="0.2">
      <c r="A129" s="56"/>
      <c r="B129" s="35"/>
      <c r="C129" s="36"/>
      <c r="D129" s="36"/>
      <c r="E129" s="36"/>
      <c r="F129" s="39" t="s">
        <v>22</v>
      </c>
      <c r="G129" s="37" t="s">
        <v>206</v>
      </c>
      <c r="H129" s="38">
        <f t="shared" si="2"/>
        <v>2.6956521739130435E-2</v>
      </c>
      <c r="I129" s="39">
        <v>46</v>
      </c>
      <c r="J129" s="35">
        <v>1.24</v>
      </c>
      <c r="K129" s="136"/>
      <c r="L129" s="39" t="s">
        <v>171</v>
      </c>
      <c r="M129" s="154">
        <v>330</v>
      </c>
      <c r="N129" s="41">
        <f>Table1[[#This Row],[Per/ct2]]*Table1[[#This Row],[Diam Cts]]</f>
        <v>409.2</v>
      </c>
      <c r="O129" s="41">
        <v>103.5</v>
      </c>
      <c r="P129" s="35">
        <v>23.52</v>
      </c>
      <c r="Q129" s="42">
        <v>21.178000000000001</v>
      </c>
      <c r="R129" s="41">
        <f>Table1[[#This Row],[Net Gm]]*Table1[[#This Row],[Gold/gm]]</f>
        <v>2191.9230000000002</v>
      </c>
      <c r="S129" s="41">
        <v>475</v>
      </c>
      <c r="T129" s="41">
        <v>222.49</v>
      </c>
      <c r="U129" s="193">
        <f>Table1[[#This Row],[Cert Exp]]+Table1[[#This Row],[Labour]]+Table1[[#This Row],[Gold Total]]+N120+N121+N122+N123+N124+N125+N126+N127+N128+Table1[[#This Row],[Diam Total]]</f>
        <v>10354.313000000002</v>
      </c>
    </row>
    <row r="130" spans="1:21" ht="16.95" customHeight="1" x14ac:dyDescent="0.2">
      <c r="A130" s="182"/>
      <c r="B130" s="183"/>
      <c r="C130" s="184"/>
      <c r="D130" s="184"/>
      <c r="E130" s="184"/>
      <c r="F130" s="182"/>
      <c r="G130" s="185"/>
      <c r="H130" s="186"/>
      <c r="I130" s="182"/>
      <c r="J130" s="183"/>
      <c r="K130" s="194"/>
      <c r="L130" s="182"/>
      <c r="M130" s="191"/>
      <c r="N130" s="1"/>
      <c r="O130" s="1"/>
      <c r="P130" s="183"/>
      <c r="Q130" s="187"/>
      <c r="R130" s="1"/>
      <c r="S130" s="1"/>
      <c r="T130" s="1"/>
      <c r="U130" s="1"/>
    </row>
    <row r="131" spans="1:21" ht="16.95" customHeight="1" x14ac:dyDescent="0.2">
      <c r="A131" s="54">
        <v>31</v>
      </c>
      <c r="B131" s="12" t="s">
        <v>192</v>
      </c>
      <c r="C131" s="5" t="s">
        <v>207</v>
      </c>
      <c r="D131" s="122" t="s">
        <v>14</v>
      </c>
      <c r="E131" s="5" t="s">
        <v>208</v>
      </c>
      <c r="F131" s="7" t="s">
        <v>22</v>
      </c>
      <c r="G131" s="8" t="s">
        <v>209</v>
      </c>
      <c r="H131" s="9">
        <f t="shared" si="2"/>
        <v>0.8</v>
      </c>
      <c r="I131" s="7">
        <v>1</v>
      </c>
      <c r="J131" s="12">
        <v>0.8</v>
      </c>
      <c r="K131" s="137" t="s">
        <v>199</v>
      </c>
      <c r="L131" s="7" t="s">
        <v>213</v>
      </c>
      <c r="M131" s="152">
        <v>975</v>
      </c>
      <c r="N131" s="11">
        <f>Table1[[#This Row],[Per/ct2]]*Table1[[#This Row],[Diam Cts]]</f>
        <v>780</v>
      </c>
      <c r="O131" s="11"/>
      <c r="P131" s="12"/>
      <c r="Q131" s="13"/>
      <c r="R131" s="11"/>
      <c r="S131" s="11"/>
      <c r="T131" s="11"/>
      <c r="U131" s="188"/>
    </row>
    <row r="132" spans="1:21" ht="16.95" customHeight="1" x14ac:dyDescent="0.2">
      <c r="A132" s="55"/>
      <c r="B132" s="20"/>
      <c r="C132" s="22" t="s">
        <v>210</v>
      </c>
      <c r="D132" s="15"/>
      <c r="E132" s="15"/>
      <c r="F132" s="14" t="s">
        <v>22</v>
      </c>
      <c r="G132" s="16" t="s">
        <v>146</v>
      </c>
      <c r="H132" s="17">
        <f t="shared" si="2"/>
        <v>0.505</v>
      </c>
      <c r="I132" s="14">
        <v>2</v>
      </c>
      <c r="J132" s="20">
        <v>1.01</v>
      </c>
      <c r="K132" s="139"/>
      <c r="L132" s="14" t="s">
        <v>187</v>
      </c>
      <c r="M132" s="153">
        <v>775</v>
      </c>
      <c r="N132" s="19">
        <f>Table1[[#This Row],[Per/ct2]]*Table1[[#This Row],[Diam Cts]]</f>
        <v>782.75</v>
      </c>
      <c r="O132" s="19"/>
      <c r="P132" s="20"/>
      <c r="Q132" s="21"/>
      <c r="R132" s="19"/>
      <c r="S132" s="19"/>
      <c r="T132" s="19"/>
      <c r="U132" s="189"/>
    </row>
    <row r="133" spans="1:21" ht="16.95" customHeight="1" x14ac:dyDescent="0.2">
      <c r="A133" s="55"/>
      <c r="B133" s="20"/>
      <c r="C133" s="15" t="s">
        <v>211</v>
      </c>
      <c r="D133" s="15"/>
      <c r="E133" s="15"/>
      <c r="F133" s="14" t="s">
        <v>22</v>
      </c>
      <c r="G133" s="16" t="s">
        <v>202</v>
      </c>
      <c r="H133" s="17">
        <f t="shared" si="2"/>
        <v>0.46500000000000002</v>
      </c>
      <c r="I133" s="14">
        <v>2</v>
      </c>
      <c r="J133" s="20">
        <v>0.93</v>
      </c>
      <c r="K133" s="139"/>
      <c r="L133" s="14" t="s">
        <v>177</v>
      </c>
      <c r="M133" s="153">
        <v>715</v>
      </c>
      <c r="N133" s="19">
        <f>Table1[[#This Row],[Per/ct2]]*Table1[[#This Row],[Diam Cts]]</f>
        <v>664.95</v>
      </c>
      <c r="O133" s="19"/>
      <c r="P133" s="20"/>
      <c r="Q133" s="21"/>
      <c r="R133" s="19"/>
      <c r="S133" s="19"/>
      <c r="T133" s="19"/>
      <c r="U133" s="189"/>
    </row>
    <row r="134" spans="1:21" ht="16.95" customHeight="1" x14ac:dyDescent="0.2">
      <c r="A134" s="55"/>
      <c r="B134" s="20"/>
      <c r="C134" s="15"/>
      <c r="D134" s="15"/>
      <c r="E134" s="15"/>
      <c r="F134" s="14" t="s">
        <v>22</v>
      </c>
      <c r="G134" s="16" t="s">
        <v>156</v>
      </c>
      <c r="H134" s="17">
        <f t="shared" si="2"/>
        <v>0.38500000000000001</v>
      </c>
      <c r="I134" s="14">
        <v>2</v>
      </c>
      <c r="J134" s="20">
        <v>0.77</v>
      </c>
      <c r="K134" s="139"/>
      <c r="L134" s="14" t="s">
        <v>177</v>
      </c>
      <c r="M134" s="153">
        <v>675</v>
      </c>
      <c r="N134" s="19">
        <f>Table1[[#This Row],[Per/ct2]]*Table1[[#This Row],[Diam Cts]]</f>
        <v>519.75</v>
      </c>
      <c r="O134" s="19"/>
      <c r="P134" s="20"/>
      <c r="Q134" s="21"/>
      <c r="R134" s="19"/>
      <c r="S134" s="19"/>
      <c r="T134" s="19"/>
      <c r="U134" s="189"/>
    </row>
    <row r="135" spans="1:21" ht="16.95" customHeight="1" x14ac:dyDescent="0.2">
      <c r="A135" s="55"/>
      <c r="B135" s="20"/>
      <c r="C135" s="15"/>
      <c r="D135" s="15"/>
      <c r="E135" s="15"/>
      <c r="F135" s="14" t="s">
        <v>22</v>
      </c>
      <c r="G135" s="16" t="s">
        <v>112</v>
      </c>
      <c r="H135" s="17">
        <f t="shared" si="2"/>
        <v>0.33500000000000002</v>
      </c>
      <c r="I135" s="14">
        <v>4</v>
      </c>
      <c r="J135" s="20">
        <v>1.34</v>
      </c>
      <c r="K135" s="139"/>
      <c r="L135" s="14" t="s">
        <v>174</v>
      </c>
      <c r="M135" s="153">
        <v>625</v>
      </c>
      <c r="N135" s="19">
        <f>Table1[[#This Row],[Per/ct2]]*Table1[[#This Row],[Diam Cts]]</f>
        <v>837.5</v>
      </c>
      <c r="O135" s="19"/>
      <c r="P135" s="20"/>
      <c r="Q135" s="21"/>
      <c r="R135" s="19"/>
      <c r="S135" s="19"/>
      <c r="T135" s="19"/>
      <c r="U135" s="189"/>
    </row>
    <row r="136" spans="1:21" ht="16.95" customHeight="1" x14ac:dyDescent="0.2">
      <c r="A136" s="55"/>
      <c r="B136" s="20"/>
      <c r="C136" s="15"/>
      <c r="D136" s="15"/>
      <c r="E136" s="15"/>
      <c r="F136" s="14" t="s">
        <v>22</v>
      </c>
      <c r="G136" s="16" t="s">
        <v>69</v>
      </c>
      <c r="H136" s="17">
        <f t="shared" si="2"/>
        <v>0.25</v>
      </c>
      <c r="I136" s="14">
        <v>4</v>
      </c>
      <c r="J136" s="20">
        <v>1</v>
      </c>
      <c r="K136" s="139"/>
      <c r="L136" s="14" t="s">
        <v>174</v>
      </c>
      <c r="M136" s="153">
        <v>600</v>
      </c>
      <c r="N136" s="19">
        <f>Table1[[#This Row],[Per/ct2]]*Table1[[#This Row],[Diam Cts]]</f>
        <v>600</v>
      </c>
      <c r="O136" s="19"/>
      <c r="P136" s="20"/>
      <c r="Q136" s="21"/>
      <c r="R136" s="19"/>
      <c r="S136" s="19"/>
      <c r="T136" s="19"/>
      <c r="U136" s="189"/>
    </row>
    <row r="137" spans="1:21" ht="16.95" customHeight="1" x14ac:dyDescent="0.2">
      <c r="A137" s="55"/>
      <c r="B137" s="20"/>
      <c r="C137" s="15"/>
      <c r="D137" s="15"/>
      <c r="E137" s="15"/>
      <c r="F137" s="14" t="s">
        <v>22</v>
      </c>
      <c r="G137" s="16" t="s">
        <v>78</v>
      </c>
      <c r="H137" s="17">
        <f t="shared" si="2"/>
        <v>0.185</v>
      </c>
      <c r="I137" s="14">
        <v>2</v>
      </c>
      <c r="J137" s="20">
        <v>0.37</v>
      </c>
      <c r="K137" s="139"/>
      <c r="L137" s="14" t="s">
        <v>179</v>
      </c>
      <c r="M137" s="153">
        <v>550</v>
      </c>
      <c r="N137" s="19">
        <f>Table1[[#This Row],[Per/ct2]]*Table1[[#This Row],[Diam Cts]]</f>
        <v>203.5</v>
      </c>
      <c r="O137" s="19"/>
      <c r="P137" s="20"/>
      <c r="Q137" s="21"/>
      <c r="R137" s="19"/>
      <c r="S137" s="19"/>
      <c r="T137" s="19"/>
      <c r="U137" s="189"/>
    </row>
    <row r="138" spans="1:21" ht="16.95" customHeight="1" x14ac:dyDescent="0.2">
      <c r="A138" s="55"/>
      <c r="B138" s="20"/>
      <c r="C138" s="15"/>
      <c r="D138" s="15"/>
      <c r="E138" s="15"/>
      <c r="F138" s="14" t="s">
        <v>22</v>
      </c>
      <c r="G138" s="16" t="s">
        <v>212</v>
      </c>
      <c r="H138" s="17">
        <f t="shared" si="2"/>
        <v>0.17</v>
      </c>
      <c r="I138" s="14">
        <v>2</v>
      </c>
      <c r="J138" s="20">
        <v>0.34</v>
      </c>
      <c r="K138" s="139"/>
      <c r="L138" s="14" t="s">
        <v>170</v>
      </c>
      <c r="M138" s="153">
        <v>535</v>
      </c>
      <c r="N138" s="19">
        <f>Table1[[#This Row],[Per/ct2]]*Table1[[#This Row],[Diam Cts]]</f>
        <v>181.9</v>
      </c>
      <c r="O138" s="19"/>
      <c r="P138" s="20"/>
      <c r="Q138" s="21"/>
      <c r="R138" s="19"/>
      <c r="S138" s="19"/>
      <c r="T138" s="19"/>
      <c r="U138" s="189"/>
    </row>
    <row r="139" spans="1:21" ht="16.95" customHeight="1" x14ac:dyDescent="0.2">
      <c r="A139" s="55"/>
      <c r="B139" s="20"/>
      <c r="C139" s="15"/>
      <c r="D139" s="15"/>
      <c r="E139" s="15"/>
      <c r="F139" s="14" t="s">
        <v>22</v>
      </c>
      <c r="G139" s="16" t="s">
        <v>204</v>
      </c>
      <c r="H139" s="17">
        <f t="shared" si="2"/>
        <v>0.12333333333333334</v>
      </c>
      <c r="I139" s="14">
        <v>6</v>
      </c>
      <c r="J139" s="20">
        <v>0.74</v>
      </c>
      <c r="K139" s="139"/>
      <c r="L139" s="14" t="s">
        <v>176</v>
      </c>
      <c r="M139" s="153">
        <v>515</v>
      </c>
      <c r="N139" s="19">
        <f>Table1[[#This Row],[Per/ct2]]*Table1[[#This Row],[Diam Cts]]</f>
        <v>381.1</v>
      </c>
      <c r="O139" s="19"/>
      <c r="P139" s="20"/>
      <c r="Q139" s="21"/>
      <c r="R139" s="19"/>
      <c r="S139" s="19"/>
      <c r="T139" s="19"/>
      <c r="U139" s="189"/>
    </row>
    <row r="140" spans="1:21" ht="16.95" customHeight="1" x14ac:dyDescent="0.2">
      <c r="A140" s="55"/>
      <c r="B140" s="20"/>
      <c r="C140" s="15"/>
      <c r="D140" s="15"/>
      <c r="E140" s="15"/>
      <c r="F140" s="14" t="s">
        <v>22</v>
      </c>
      <c r="G140" s="16" t="s">
        <v>80</v>
      </c>
      <c r="H140" s="17">
        <f t="shared" si="2"/>
        <v>8.3999999999999991E-2</v>
      </c>
      <c r="I140" s="14">
        <v>20</v>
      </c>
      <c r="J140" s="20">
        <v>1.68</v>
      </c>
      <c r="K140" s="139"/>
      <c r="L140" s="14" t="s">
        <v>180</v>
      </c>
      <c r="M140" s="153">
        <v>475</v>
      </c>
      <c r="N140" s="19">
        <f>Table1[[#This Row],[Per/ct2]]*Table1[[#This Row],[Diam Cts]]</f>
        <v>798</v>
      </c>
      <c r="O140" s="19"/>
      <c r="P140" s="20"/>
      <c r="Q140" s="21"/>
      <c r="R140" s="19"/>
      <c r="S140" s="19"/>
      <c r="T140" s="19"/>
      <c r="U140" s="189"/>
    </row>
    <row r="141" spans="1:21" ht="16.95" customHeight="1" x14ac:dyDescent="0.2">
      <c r="A141" s="55"/>
      <c r="B141" s="20"/>
      <c r="C141" s="15"/>
      <c r="D141" s="15"/>
      <c r="E141" s="15"/>
      <c r="F141" s="14" t="s">
        <v>22</v>
      </c>
      <c r="G141" s="16" t="s">
        <v>205</v>
      </c>
      <c r="H141" s="17">
        <f t="shared" si="2"/>
        <v>5.0757575757575758E-2</v>
      </c>
      <c r="I141" s="14">
        <v>66</v>
      </c>
      <c r="J141" s="20">
        <v>3.35</v>
      </c>
      <c r="K141" s="139"/>
      <c r="L141" s="14" t="s">
        <v>173</v>
      </c>
      <c r="M141" s="153">
        <v>350</v>
      </c>
      <c r="N141" s="19">
        <f>Table1[[#This Row],[Per/ct2]]*Table1[[#This Row],[Diam Cts]]</f>
        <v>1172.5</v>
      </c>
      <c r="O141" s="19"/>
      <c r="P141" s="20"/>
      <c r="Q141" s="21"/>
      <c r="R141" s="19"/>
      <c r="S141" s="19"/>
      <c r="T141" s="19"/>
      <c r="U141" s="189"/>
    </row>
    <row r="142" spans="1:21" ht="16.95" customHeight="1" x14ac:dyDescent="0.2">
      <c r="A142" s="56"/>
      <c r="B142" s="35"/>
      <c r="C142" s="36"/>
      <c r="D142" s="36"/>
      <c r="E142" s="36"/>
      <c r="F142" s="39" t="s">
        <v>22</v>
      </c>
      <c r="G142" s="37" t="s">
        <v>206</v>
      </c>
      <c r="H142" s="38">
        <f t="shared" si="2"/>
        <v>2.9722222222222223E-2</v>
      </c>
      <c r="I142" s="39">
        <v>36</v>
      </c>
      <c r="J142" s="35">
        <v>1.07</v>
      </c>
      <c r="K142" s="136"/>
      <c r="L142" s="39" t="s">
        <v>171</v>
      </c>
      <c r="M142" s="154">
        <v>330</v>
      </c>
      <c r="N142" s="41">
        <f>Table1[[#This Row],[Per/ct2]]*Table1[[#This Row],[Diam Cts]]</f>
        <v>353.1</v>
      </c>
      <c r="O142" s="41">
        <v>103.5</v>
      </c>
      <c r="P142" s="35">
        <v>22.55</v>
      </c>
      <c r="Q142" s="58">
        <v>19.87</v>
      </c>
      <c r="R142" s="41">
        <f>Table1[[#This Row],[Net Gm]]*Table1[[#This Row],[Gold/gm]]</f>
        <v>2056.5450000000001</v>
      </c>
      <c r="S142" s="41">
        <v>475</v>
      </c>
      <c r="T142" s="41">
        <v>254.6</v>
      </c>
      <c r="U142" s="193">
        <f>Table1[[#This Row],[Cert Exp]]+Table1[[#This Row],[Labour]]+Table1[[#This Row],[Gold Total]]+N131+N132+N133+N134+N135+N136+N137+N138+N139+N140+N141+Table1[[#This Row],[Diam Total]]</f>
        <v>10061.195000000002</v>
      </c>
    </row>
    <row r="143" spans="1:21" ht="16.95" customHeight="1" x14ac:dyDescent="0.2">
      <c r="A143" s="158">
        <f>SUBTOTAL(103,Table1[Sr])</f>
        <v>31</v>
      </c>
      <c r="B143" s="161"/>
      <c r="C143" s="160"/>
      <c r="D143" s="160"/>
      <c r="E143" s="160"/>
      <c r="F143" s="161"/>
      <c r="G143" s="160"/>
      <c r="H143" s="161"/>
      <c r="I143" s="161">
        <f>SUBTOTAL(109,Table1[No.Pcs])</f>
        <v>2117</v>
      </c>
      <c r="J143" s="159">
        <f>SUBTOTAL(109,Table1[Diam Cts])</f>
        <v>287.75000000000011</v>
      </c>
      <c r="K143" s="160"/>
      <c r="L143" s="161"/>
      <c r="M143" s="161"/>
      <c r="N143" s="162">
        <f>SUBTOTAL(109,Table1[Diam Total])</f>
        <v>185133.70000000004</v>
      </c>
      <c r="O143" s="161"/>
      <c r="P143" s="159">
        <f>SUBTOTAL(109,Table1[Gross Gm])</f>
        <v>427.77999999999992</v>
      </c>
      <c r="Q143" s="180">
        <f>SUBTOTAL(109,Table1[Net Gm])</f>
        <v>370.24399999999997</v>
      </c>
      <c r="R143" s="163">
        <f>SUBTOTAL(109,Table1[Gold Total])</f>
        <v>38320.254000000001</v>
      </c>
      <c r="S143" s="163">
        <f>SUBTOTAL(109,Table1[Labour])</f>
        <v>9205</v>
      </c>
      <c r="T143" s="163">
        <f>SUBTOTAL(109,Table1[Cert Exp])</f>
        <v>5467.2499999999991</v>
      </c>
      <c r="U143" s="164">
        <f>SUBTOTAL(109,Table1[Total Amt])</f>
        <v>238126.204</v>
      </c>
    </row>
    <row r="144" spans="1:21" ht="16.9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>
        <v>1</v>
      </c>
      <c r="O144" s="3"/>
      <c r="P144" s="3"/>
      <c r="Q144" s="3"/>
      <c r="R144" s="3">
        <v>2</v>
      </c>
      <c r="S144" s="3">
        <v>3</v>
      </c>
      <c r="T144" s="3">
        <v>4</v>
      </c>
      <c r="U144" s="3" t="s">
        <v>142</v>
      </c>
    </row>
    <row r="145" spans="1:4" ht="16.95" customHeight="1" x14ac:dyDescent="0.2">
      <c r="A145" s="209" t="s">
        <v>214</v>
      </c>
      <c r="B145" s="209"/>
      <c r="C145" s="209"/>
      <c r="D145" s="209"/>
    </row>
    <row r="146" spans="1:4" ht="16.95" customHeight="1" x14ac:dyDescent="0.2">
      <c r="A146" s="209" t="s">
        <v>216</v>
      </c>
      <c r="B146" s="209"/>
      <c r="C146" s="209"/>
      <c r="D146" s="209"/>
    </row>
    <row r="147" spans="1:4" ht="16.95" customHeight="1" x14ac:dyDescent="0.2">
      <c r="A147" s="210" t="s">
        <v>218</v>
      </c>
      <c r="B147" s="210"/>
      <c r="C147" s="210"/>
      <c r="D147" s="210"/>
    </row>
  </sheetData>
  <mergeCells count="5">
    <mergeCell ref="A3:U3"/>
    <mergeCell ref="A2:U2"/>
    <mergeCell ref="A145:D145"/>
    <mergeCell ref="A146:D146"/>
    <mergeCell ref="A147:D147"/>
  </mergeCells>
  <hyperlinks>
    <hyperlink ref="D5" r:id="rId1" xr:uid="{02F8FE4A-5DE7-4EF7-8E05-20930A2D03D4}"/>
    <hyperlink ref="D9" r:id="rId2" xr:uid="{A8FDA08C-84D2-4D61-9FBB-B4C7402C54AB}"/>
    <hyperlink ref="D13" r:id="rId3" xr:uid="{D3E18B0F-0B59-4397-8577-CA86B45FFEDD}"/>
    <hyperlink ref="D17" r:id="rId4" xr:uid="{9C63BDD9-D321-401A-8859-E004277B381E}"/>
    <hyperlink ref="D21" r:id="rId5" xr:uid="{66D475BF-BCCD-4748-8087-3BC9FB602B5C}"/>
    <hyperlink ref="D24" r:id="rId6" xr:uid="{107B4765-939F-4BAC-BD65-AECF64726C3D}"/>
    <hyperlink ref="D27" r:id="rId7" xr:uid="{57E3FC75-0F44-4754-9C4F-950EDF966F33}"/>
    <hyperlink ref="D30" r:id="rId8" xr:uid="{53103A03-0833-4ACA-893C-AE67839F14ED}"/>
    <hyperlink ref="D32" r:id="rId9" xr:uid="{B8D5FBCE-4759-4C7B-A368-6F6D242C541C}"/>
    <hyperlink ref="D35" r:id="rId10" xr:uid="{26B311C0-3BA1-422C-A24C-2284828B8681}"/>
    <hyperlink ref="D38" r:id="rId11" xr:uid="{E2D6F56E-F149-4C8E-943E-544351E9140E}"/>
    <hyperlink ref="D41" r:id="rId12" xr:uid="{32258C71-CA47-4D04-85DF-CA8D86909B91}"/>
    <hyperlink ref="D44" r:id="rId13" xr:uid="{C7A4A2B5-DCD1-46AC-BF26-517838DD1B72}"/>
    <hyperlink ref="D48" r:id="rId14" xr:uid="{9B143518-D8B7-49A7-9F6F-A31AD265D1C2}"/>
    <hyperlink ref="D51" r:id="rId15" xr:uid="{A27383E0-9F1B-4B6F-A1D0-952F63AD6D56}"/>
    <hyperlink ref="D54" r:id="rId16" xr:uid="{72FB326E-D133-46F7-802F-C7EC5F04ACF2}"/>
    <hyperlink ref="D56" r:id="rId17" xr:uid="{398CBCB2-13EE-4036-A9BE-A6C28BE7B5FF}"/>
    <hyperlink ref="D59" r:id="rId18" xr:uid="{448DE646-5250-4125-826D-E7E22554C6BB}"/>
    <hyperlink ref="D62" r:id="rId19" xr:uid="{B0C2BF54-C58D-4CCF-B167-2481124DF94A}"/>
    <hyperlink ref="D67" r:id="rId20" xr:uid="{B1D50E44-3F3B-426B-A1B7-B10A7018944B}"/>
    <hyperlink ref="D69" r:id="rId21" xr:uid="{6CE400A3-56BF-4F94-B457-C7A2DB812A62}"/>
    <hyperlink ref="D72" r:id="rId22" xr:uid="{2AD04DA4-4981-47CA-B33B-74D1F448965B}"/>
    <hyperlink ref="D75" r:id="rId23" xr:uid="{ABD0B397-210A-46C8-9C6C-F4D713E2FA57}"/>
    <hyperlink ref="D78" r:id="rId24" xr:uid="{AC68D486-81D3-4760-B017-B11D96FAB27F}"/>
    <hyperlink ref="D84" r:id="rId25" xr:uid="{4D3CC121-97F1-43A9-8B3B-FEA6FAA39D8F}"/>
    <hyperlink ref="D112" r:id="rId26" xr:uid="{ADFC8806-17F9-46BC-86F9-06C97CD3EFC4}"/>
    <hyperlink ref="D92" r:id="rId27" xr:uid="{2C751614-30C0-420D-AF64-9227FA7C6837}"/>
    <hyperlink ref="D101" r:id="rId28" xr:uid="{DA07AC86-BFC1-4AFC-BF71-4AC461DD0228}"/>
    <hyperlink ref="D117" r:id="rId29" xr:uid="{42FA5643-B649-4202-B791-12BF7A720ED8}"/>
    <hyperlink ref="D120" r:id="rId30" xr:uid="{ECC8F7F8-CFFF-43FF-BAF3-A34737B5E68E}"/>
    <hyperlink ref="D131" r:id="rId31" xr:uid="{74E88514-EC6E-4E6C-A986-8A3EAB65BD91}"/>
  </hyperlinks>
  <pageMargins left="0.51181102362204722" right="0.51181102362204722" top="0.74803149606299213" bottom="0.74803149606299213" header="0.31496062992125984" footer="0.31496062992125984"/>
  <pageSetup paperSize="9" scale="66" orientation="landscape" r:id="rId32"/>
  <headerFooter>
    <oddHeader>Page &amp;P of &amp;N</oddHeader>
    <oddFooter>Page &amp;P of &amp;N</oddFooter>
  </headerFooter>
  <ignoredErrors>
    <ignoredError sqref="H5:H115 T7:T115 U82 U7:U81 U83:U115 H117:H142 R117:R142 T117:U117 U129:U142" unlockedFormula="1"/>
  </ignoredErrors>
  <drawing r:id="rId33"/>
  <legacyDrawing r:id="rId34"/>
  <tableParts count="1">
    <tablePart r:id="rId3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DAB0-B255-4359-9FDF-189924D7075F}">
  <dimension ref="A2:W149"/>
  <sheetViews>
    <sheetView tabSelected="1" zoomScale="90" zoomScaleNormal="90" workbookViewId="0">
      <pane ySplit="4" topLeftCell="A5" activePane="bottomLeft" state="frozen"/>
      <selection pane="bottomLeft" activeCell="U150" sqref="U150"/>
    </sheetView>
  </sheetViews>
  <sheetFormatPr defaultRowHeight="16.95" customHeight="1" x14ac:dyDescent="0.2"/>
  <cols>
    <col min="1" max="1" width="2.6640625" style="2" customWidth="1"/>
    <col min="2" max="2" width="8.88671875" style="2" customWidth="1"/>
    <col min="3" max="3" width="17.44140625" style="2" customWidth="1"/>
    <col min="4" max="4" width="26.109375" style="2" bestFit="1" customWidth="1"/>
    <col min="5" max="5" width="6.44140625" style="2" customWidth="1"/>
    <col min="6" max="6" width="13.109375" style="2" customWidth="1"/>
    <col min="7" max="7" width="9.6640625" style="2" customWidth="1"/>
    <col min="8" max="8" width="8.88671875" style="2"/>
    <col min="9" max="9" width="7.21875" style="2" customWidth="1"/>
    <col min="10" max="10" width="7.88671875" style="2" customWidth="1"/>
    <col min="11" max="11" width="8.21875" style="2" customWidth="1"/>
    <col min="12" max="12" width="11.88671875" style="2" customWidth="1"/>
    <col min="13" max="13" width="7" style="2" customWidth="1"/>
    <col min="14" max="14" width="9" style="2" bestFit="1" customWidth="1"/>
    <col min="15" max="15" width="11.44140625" style="2" customWidth="1"/>
    <col min="16" max="16" width="8" style="2" customWidth="1"/>
    <col min="17" max="17" width="7.33203125" style="2" customWidth="1"/>
    <col min="18" max="18" width="6.44140625" style="2" customWidth="1"/>
    <col min="19" max="19" width="10.33203125" style="2" customWidth="1"/>
    <col min="20" max="20" width="9" style="2" customWidth="1"/>
    <col min="21" max="21" width="9.33203125" style="2" customWidth="1"/>
    <col min="22" max="22" width="10.6640625" style="2" customWidth="1"/>
    <col min="23" max="16384" width="8.88671875" style="2"/>
  </cols>
  <sheetData>
    <row r="2" spans="1:23" s="3" customFormat="1" ht="16.95" customHeight="1" x14ac:dyDescent="0.3">
      <c r="A2" s="208" t="s">
        <v>217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</row>
    <row r="3" spans="1:23" s="3" customFormat="1" ht="16.95" customHeight="1" x14ac:dyDescent="0.3">
      <c r="A3" s="208" t="s">
        <v>215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</row>
    <row r="4" spans="1:23" ht="16.95" customHeight="1" x14ac:dyDescent="0.2">
      <c r="A4" s="44" t="s">
        <v>0</v>
      </c>
      <c r="B4" s="45" t="s">
        <v>1</v>
      </c>
      <c r="C4" s="45" t="s">
        <v>219</v>
      </c>
      <c r="D4" s="46" t="s">
        <v>4</v>
      </c>
      <c r="E4" s="45" t="s">
        <v>5</v>
      </c>
      <c r="F4" s="45" t="s">
        <v>6</v>
      </c>
      <c r="G4" s="46" t="s">
        <v>7</v>
      </c>
      <c r="H4" s="47" t="s">
        <v>8</v>
      </c>
      <c r="I4" s="48" t="s">
        <v>9</v>
      </c>
      <c r="J4" s="45" t="s">
        <v>10</v>
      </c>
      <c r="K4" s="45" t="s">
        <v>11</v>
      </c>
      <c r="L4" s="46" t="s">
        <v>12</v>
      </c>
      <c r="M4" s="45" t="s">
        <v>34</v>
      </c>
      <c r="N4" s="45" t="s">
        <v>37</v>
      </c>
      <c r="O4" s="49" t="s">
        <v>38</v>
      </c>
      <c r="P4" s="50" t="s">
        <v>39</v>
      </c>
      <c r="Q4" s="51" t="s">
        <v>40</v>
      </c>
      <c r="R4" s="52" t="s">
        <v>41</v>
      </c>
      <c r="S4" s="49" t="s">
        <v>42</v>
      </c>
      <c r="T4" s="49" t="s">
        <v>43</v>
      </c>
      <c r="U4" s="50" t="s">
        <v>44</v>
      </c>
      <c r="V4" s="53" t="s">
        <v>45</v>
      </c>
      <c r="W4" s="214" t="s">
        <v>221</v>
      </c>
    </row>
    <row r="5" spans="1:23" ht="16.95" customHeight="1" x14ac:dyDescent="0.2">
      <c r="A5" s="54">
        <v>1</v>
      </c>
      <c r="B5" s="4" t="s">
        <v>2</v>
      </c>
      <c r="C5" s="4"/>
      <c r="D5" s="5" t="s">
        <v>13</v>
      </c>
      <c r="E5" s="6" t="s">
        <v>14</v>
      </c>
      <c r="F5" s="7" t="s">
        <v>15</v>
      </c>
      <c r="G5" s="5" t="s">
        <v>16</v>
      </c>
      <c r="H5" s="8" t="s">
        <v>17</v>
      </c>
      <c r="I5" s="9">
        <f>K5/J5</f>
        <v>1.02</v>
      </c>
      <c r="J5" s="7">
        <v>1</v>
      </c>
      <c r="K5" s="7">
        <v>1.02</v>
      </c>
      <c r="L5" s="126" t="s">
        <v>18</v>
      </c>
      <c r="M5" s="7" t="s">
        <v>169</v>
      </c>
      <c r="N5" s="152">
        <v>1150</v>
      </c>
      <c r="O5" s="10">
        <f>N5*K5</f>
        <v>1173</v>
      </c>
      <c r="P5" s="11"/>
      <c r="Q5" s="12"/>
      <c r="R5" s="13"/>
      <c r="S5" s="10"/>
      <c r="T5" s="10"/>
      <c r="U5" s="11"/>
      <c r="V5" s="141"/>
      <c r="W5" s="212" t="s">
        <v>220</v>
      </c>
    </row>
    <row r="6" spans="1:23" ht="16.95" customHeight="1" x14ac:dyDescent="0.2">
      <c r="A6" s="55"/>
      <c r="B6" s="14"/>
      <c r="C6" s="14"/>
      <c r="D6" s="15"/>
      <c r="E6" s="14"/>
      <c r="F6" s="14"/>
      <c r="G6" s="15" t="s">
        <v>16</v>
      </c>
      <c r="H6" s="16" t="s">
        <v>19</v>
      </c>
      <c r="I6" s="17">
        <f>K6/J6</f>
        <v>9.7692307692307689E-2</v>
      </c>
      <c r="J6" s="14">
        <v>13</v>
      </c>
      <c r="K6" s="14">
        <v>1.27</v>
      </c>
      <c r="L6" s="22" t="s">
        <v>20</v>
      </c>
      <c r="M6" s="14" t="s">
        <v>170</v>
      </c>
      <c r="N6" s="153">
        <v>525</v>
      </c>
      <c r="O6" s="18">
        <f>N6*K6</f>
        <v>666.75</v>
      </c>
      <c r="P6" s="19"/>
      <c r="Q6" s="20"/>
      <c r="R6" s="21"/>
      <c r="S6" s="18"/>
      <c r="T6" s="18"/>
      <c r="U6" s="19"/>
      <c r="V6" s="142"/>
      <c r="W6" s="212" t="s">
        <v>220</v>
      </c>
    </row>
    <row r="7" spans="1:23" ht="16.95" customHeight="1" x14ac:dyDescent="0.2">
      <c r="A7" s="56"/>
      <c r="B7" s="39"/>
      <c r="C7" s="39"/>
      <c r="D7" s="57" t="s">
        <v>21</v>
      </c>
      <c r="E7" s="39"/>
      <c r="F7" s="39"/>
      <c r="G7" s="36" t="s">
        <v>22</v>
      </c>
      <c r="H7" s="37" t="s">
        <v>23</v>
      </c>
      <c r="I7" s="38">
        <f>K7/J7</f>
        <v>3.5000000000000003E-2</v>
      </c>
      <c r="J7" s="39">
        <v>30</v>
      </c>
      <c r="K7" s="39">
        <v>1.05</v>
      </c>
      <c r="L7" s="57" t="s">
        <v>24</v>
      </c>
      <c r="M7" s="39" t="s">
        <v>171</v>
      </c>
      <c r="N7" s="154">
        <v>325</v>
      </c>
      <c r="O7" s="40">
        <f>N7*K7</f>
        <v>341.25</v>
      </c>
      <c r="P7" s="41">
        <v>103.5</v>
      </c>
      <c r="Q7" s="35">
        <v>6.85</v>
      </c>
      <c r="R7" s="58">
        <v>6.1820000000000004</v>
      </c>
      <c r="S7" s="40">
        <f>R7*P7</f>
        <v>639.83699999999999</v>
      </c>
      <c r="T7" s="40">
        <v>205</v>
      </c>
      <c r="U7" s="41">
        <f>19*3.34</f>
        <v>63.459999999999994</v>
      </c>
      <c r="V7" s="205">
        <f>Table13[[#This Row],[Cert Exp]]+Table13[[#This Row],[Labour]]+Table13[[#This Row],[Gold Total]]+O5+O6+Table13[[#This Row],[Diam Total]]</f>
        <v>3089.297</v>
      </c>
      <c r="W7" s="212" t="s">
        <v>220</v>
      </c>
    </row>
    <row r="8" spans="1:23" ht="16.95" customHeight="1" x14ac:dyDescent="0.2">
      <c r="A8" s="59"/>
      <c r="B8" s="60"/>
      <c r="C8" s="60"/>
      <c r="D8" s="61"/>
      <c r="E8" s="151"/>
      <c r="F8" s="60"/>
      <c r="G8" s="61"/>
      <c r="H8" s="61"/>
      <c r="I8" s="60"/>
      <c r="J8" s="60"/>
      <c r="K8" s="60"/>
      <c r="L8" s="127"/>
      <c r="M8" s="60"/>
      <c r="N8" s="155"/>
      <c r="O8" s="60"/>
      <c r="P8" s="60"/>
      <c r="Q8" s="60"/>
      <c r="R8" s="60"/>
      <c r="S8" s="60"/>
      <c r="T8" s="60"/>
      <c r="U8" s="60"/>
      <c r="V8" s="143"/>
      <c r="W8" s="212" t="s">
        <v>220</v>
      </c>
    </row>
    <row r="9" spans="1:23" ht="16.95" hidden="1" customHeight="1" x14ac:dyDescent="0.2">
      <c r="A9" s="62">
        <v>2</v>
      </c>
      <c r="B9" s="63" t="s">
        <v>3</v>
      </c>
      <c r="C9" s="63"/>
      <c r="D9" s="64" t="s">
        <v>25</v>
      </c>
      <c r="E9" s="6" t="s">
        <v>14</v>
      </c>
      <c r="F9" s="5" t="s">
        <v>26</v>
      </c>
      <c r="G9" s="64" t="s">
        <v>27</v>
      </c>
      <c r="H9" s="65" t="s">
        <v>17</v>
      </c>
      <c r="I9" s="9">
        <f>K9/J9</f>
        <v>1.01</v>
      </c>
      <c r="J9" s="4">
        <v>1</v>
      </c>
      <c r="K9" s="12">
        <v>1.01</v>
      </c>
      <c r="L9" s="128" t="s">
        <v>28</v>
      </c>
      <c r="M9" s="4" t="s">
        <v>172</v>
      </c>
      <c r="N9" s="152">
        <v>1425</v>
      </c>
      <c r="O9" s="10">
        <f>N9*K9</f>
        <v>1439.25</v>
      </c>
      <c r="P9" s="66"/>
      <c r="Q9" s="67"/>
      <c r="R9" s="68"/>
      <c r="S9" s="69"/>
      <c r="T9" s="69"/>
      <c r="U9" s="66"/>
      <c r="V9" s="141"/>
      <c r="W9" s="211"/>
    </row>
    <row r="10" spans="1:23" ht="16.95" hidden="1" customHeight="1" x14ac:dyDescent="0.2">
      <c r="A10" s="70"/>
      <c r="B10" s="26"/>
      <c r="C10" s="26"/>
      <c r="D10" s="23"/>
      <c r="E10" s="31"/>
      <c r="F10" s="15"/>
      <c r="G10" s="23" t="s">
        <v>27</v>
      </c>
      <c r="H10" s="25" t="s">
        <v>29</v>
      </c>
      <c r="I10" s="17">
        <f>K10/J10</f>
        <v>5.7619047619047618E-2</v>
      </c>
      <c r="J10" s="26">
        <v>21</v>
      </c>
      <c r="K10" s="20">
        <v>1.21</v>
      </c>
      <c r="L10" s="129" t="s">
        <v>30</v>
      </c>
      <c r="M10" s="26" t="s">
        <v>173</v>
      </c>
      <c r="N10" s="153">
        <v>375</v>
      </c>
      <c r="O10" s="18">
        <f>N10*K10</f>
        <v>453.75</v>
      </c>
      <c r="P10" s="27"/>
      <c r="Q10" s="28"/>
      <c r="R10" s="29"/>
      <c r="S10" s="30"/>
      <c r="T10" s="30"/>
      <c r="U10" s="27"/>
      <c r="V10" s="142"/>
      <c r="W10" s="211"/>
    </row>
    <row r="11" spans="1:23" ht="16.95" hidden="1" customHeight="1" x14ac:dyDescent="0.2">
      <c r="A11" s="71"/>
      <c r="B11" s="72"/>
      <c r="C11" s="72"/>
      <c r="D11" s="73" t="s">
        <v>31</v>
      </c>
      <c r="E11" s="74"/>
      <c r="F11" s="36"/>
      <c r="G11" s="75" t="s">
        <v>32</v>
      </c>
      <c r="H11" s="76" t="s">
        <v>19</v>
      </c>
      <c r="I11" s="38">
        <f>K11/J11</f>
        <v>0.1145</v>
      </c>
      <c r="J11" s="72">
        <v>20</v>
      </c>
      <c r="K11" s="35">
        <v>2.29</v>
      </c>
      <c r="L11" s="130" t="s">
        <v>33</v>
      </c>
      <c r="M11" s="72" t="s">
        <v>174</v>
      </c>
      <c r="N11" s="154">
        <v>625</v>
      </c>
      <c r="O11" s="40">
        <f>N11*K11</f>
        <v>1431.25</v>
      </c>
      <c r="P11" s="41">
        <v>103.5</v>
      </c>
      <c r="Q11" s="77">
        <v>7.31</v>
      </c>
      <c r="R11" s="78">
        <v>6.4279999999999999</v>
      </c>
      <c r="S11" s="40">
        <f>R11*P11</f>
        <v>665.298</v>
      </c>
      <c r="T11" s="40">
        <v>205</v>
      </c>
      <c r="U11" s="79">
        <f>19*4.51</f>
        <v>85.69</v>
      </c>
      <c r="V11" s="148">
        <f>Table13[[#This Row],[Cert Exp]]+Table13[[#This Row],[Labour]]+Table13[[#This Row],[Gold Total]]+O9+O10+Table13[[#This Row],[Diam Total]]</f>
        <v>4280.2380000000003</v>
      </c>
      <c r="W11" s="211"/>
    </row>
    <row r="12" spans="1:23" ht="16.95" hidden="1" customHeight="1" x14ac:dyDescent="0.2">
      <c r="A12" s="59"/>
      <c r="B12" s="60"/>
      <c r="C12" s="60"/>
      <c r="D12" s="61"/>
      <c r="E12" s="151"/>
      <c r="F12" s="60"/>
      <c r="G12" s="61"/>
      <c r="H12" s="61"/>
      <c r="I12" s="60"/>
      <c r="J12" s="60"/>
      <c r="K12" s="60"/>
      <c r="L12" s="127"/>
      <c r="M12" s="60"/>
      <c r="N12" s="155"/>
      <c r="O12" s="60"/>
      <c r="P12" s="60"/>
      <c r="Q12" s="60"/>
      <c r="R12" s="60"/>
      <c r="S12" s="60"/>
      <c r="T12" s="60"/>
      <c r="U12" s="60"/>
      <c r="V12" s="143"/>
      <c r="W12" s="211"/>
    </row>
    <row r="13" spans="1:23" ht="16.95" hidden="1" customHeight="1" x14ac:dyDescent="0.2">
      <c r="A13" s="54">
        <v>3</v>
      </c>
      <c r="B13" s="4" t="s">
        <v>2</v>
      </c>
      <c r="C13" s="4"/>
      <c r="D13" s="5" t="s">
        <v>47</v>
      </c>
      <c r="E13" s="6" t="s">
        <v>14</v>
      </c>
      <c r="F13" s="7" t="s">
        <v>48</v>
      </c>
      <c r="G13" s="5" t="s">
        <v>27</v>
      </c>
      <c r="H13" s="8" t="s">
        <v>17</v>
      </c>
      <c r="I13" s="9">
        <f>K13/J13</f>
        <v>1</v>
      </c>
      <c r="J13" s="7">
        <v>1</v>
      </c>
      <c r="K13" s="12">
        <v>1</v>
      </c>
      <c r="L13" s="126" t="s">
        <v>28</v>
      </c>
      <c r="M13" s="7" t="s">
        <v>172</v>
      </c>
      <c r="N13" s="152">
        <v>1425</v>
      </c>
      <c r="O13" s="10">
        <f>N13*K13</f>
        <v>1425</v>
      </c>
      <c r="P13" s="11"/>
      <c r="Q13" s="12"/>
      <c r="R13" s="80"/>
      <c r="S13" s="10"/>
      <c r="T13" s="10"/>
      <c r="U13" s="11"/>
      <c r="V13" s="141"/>
      <c r="W13" s="211"/>
    </row>
    <row r="14" spans="1:23" ht="16.95" hidden="1" customHeight="1" x14ac:dyDescent="0.2">
      <c r="A14" s="55"/>
      <c r="B14" s="14"/>
      <c r="C14" s="14"/>
      <c r="D14" s="15"/>
      <c r="E14" s="14"/>
      <c r="F14" s="14"/>
      <c r="G14" s="15" t="s">
        <v>27</v>
      </c>
      <c r="H14" s="16" t="s">
        <v>23</v>
      </c>
      <c r="I14" s="17">
        <f>K14/J14</f>
        <v>3.6296296296296299E-2</v>
      </c>
      <c r="J14" s="14">
        <v>27</v>
      </c>
      <c r="K14" s="14">
        <v>0.98</v>
      </c>
      <c r="L14" s="22" t="s">
        <v>20</v>
      </c>
      <c r="M14" s="14" t="s">
        <v>171</v>
      </c>
      <c r="N14" s="153">
        <v>325</v>
      </c>
      <c r="O14" s="18">
        <f>N14*K14</f>
        <v>318.5</v>
      </c>
      <c r="P14" s="19"/>
      <c r="Q14" s="20"/>
      <c r="R14" s="32"/>
      <c r="S14" s="18"/>
      <c r="T14" s="18"/>
      <c r="U14" s="19"/>
      <c r="V14" s="142"/>
      <c r="W14" s="211"/>
    </row>
    <row r="15" spans="1:23" ht="16.95" hidden="1" customHeight="1" x14ac:dyDescent="0.2">
      <c r="A15" s="56"/>
      <c r="B15" s="39"/>
      <c r="C15" s="39"/>
      <c r="D15" s="57" t="s">
        <v>49</v>
      </c>
      <c r="E15" s="39"/>
      <c r="F15" s="39"/>
      <c r="G15" s="36" t="s">
        <v>16</v>
      </c>
      <c r="H15" s="37" t="s">
        <v>19</v>
      </c>
      <c r="I15" s="38">
        <f>K15/J15</f>
        <v>9.857142857142856E-2</v>
      </c>
      <c r="J15" s="39">
        <v>28</v>
      </c>
      <c r="K15" s="39">
        <v>2.76</v>
      </c>
      <c r="L15" s="57" t="s">
        <v>20</v>
      </c>
      <c r="M15" s="39" t="s">
        <v>170</v>
      </c>
      <c r="N15" s="154">
        <v>525</v>
      </c>
      <c r="O15" s="40">
        <f>N15*K15</f>
        <v>1449</v>
      </c>
      <c r="P15" s="41">
        <v>103.5</v>
      </c>
      <c r="Q15" s="35">
        <v>8.9499999999999993</v>
      </c>
      <c r="R15" s="42">
        <v>8.0020000000000007</v>
      </c>
      <c r="S15" s="40">
        <f>R15*P15</f>
        <v>828.20700000000011</v>
      </c>
      <c r="T15" s="40">
        <v>215</v>
      </c>
      <c r="U15" s="41">
        <f>19*4.74</f>
        <v>90.06</v>
      </c>
      <c r="V15" s="148">
        <f>Table13[[#This Row],[Cert Exp]]+Table13[[#This Row],[Labour]]+Table13[[#This Row],[Gold Total]]+O13+O14+Table13[[#This Row],[Diam Total]]</f>
        <v>4325.7669999999998</v>
      </c>
      <c r="W15" s="211"/>
    </row>
    <row r="16" spans="1:23" ht="16.95" hidden="1" customHeight="1" x14ac:dyDescent="0.2">
      <c r="A16" s="81"/>
      <c r="B16" s="82"/>
      <c r="C16" s="82"/>
      <c r="D16" s="83"/>
      <c r="E16" s="82"/>
      <c r="F16" s="84"/>
      <c r="G16" s="85"/>
      <c r="H16" s="86"/>
      <c r="I16" s="87"/>
      <c r="J16" s="82"/>
      <c r="K16" s="84"/>
      <c r="L16" s="131"/>
      <c r="M16" s="82"/>
      <c r="N16" s="156"/>
      <c r="O16" s="88"/>
      <c r="P16" s="89"/>
      <c r="Q16" s="90"/>
      <c r="R16" s="91"/>
      <c r="S16" s="88"/>
      <c r="T16" s="88"/>
      <c r="U16" s="89"/>
      <c r="V16" s="144"/>
      <c r="W16" s="211"/>
    </row>
    <row r="17" spans="1:23" ht="16.95" hidden="1" customHeight="1" x14ac:dyDescent="0.2">
      <c r="A17" s="54">
        <v>4</v>
      </c>
      <c r="B17" s="63" t="s">
        <v>46</v>
      </c>
      <c r="C17" s="63"/>
      <c r="D17" s="5" t="s">
        <v>50</v>
      </c>
      <c r="E17" s="6" t="s">
        <v>14</v>
      </c>
      <c r="F17" s="5" t="s">
        <v>51</v>
      </c>
      <c r="G17" s="5" t="s">
        <v>27</v>
      </c>
      <c r="H17" s="8" t="s">
        <v>17</v>
      </c>
      <c r="I17" s="9">
        <f>K17/J17</f>
        <v>1.01</v>
      </c>
      <c r="J17" s="7">
        <v>1</v>
      </c>
      <c r="K17" s="7">
        <v>1.01</v>
      </c>
      <c r="L17" s="132" t="s">
        <v>52</v>
      </c>
      <c r="M17" s="7" t="s">
        <v>172</v>
      </c>
      <c r="N17" s="152">
        <v>1425</v>
      </c>
      <c r="O17" s="10">
        <f>N17*K17</f>
        <v>1439.25</v>
      </c>
      <c r="P17" s="11"/>
      <c r="Q17" s="12"/>
      <c r="R17" s="13"/>
      <c r="S17" s="10"/>
      <c r="T17" s="10"/>
      <c r="U17" s="11"/>
      <c r="V17" s="141"/>
      <c r="W17" s="211"/>
    </row>
    <row r="18" spans="1:23" ht="16.95" hidden="1" customHeight="1" x14ac:dyDescent="0.2">
      <c r="A18" s="55"/>
      <c r="B18" s="14"/>
      <c r="C18" s="14"/>
      <c r="D18" s="15"/>
      <c r="E18" s="14"/>
      <c r="F18" s="15"/>
      <c r="G18" s="15" t="s">
        <v>27</v>
      </c>
      <c r="H18" s="16" t="s">
        <v>53</v>
      </c>
      <c r="I18" s="17">
        <f>K18/J18</f>
        <v>0.1275</v>
      </c>
      <c r="J18" s="14">
        <v>20</v>
      </c>
      <c r="K18" s="14">
        <v>2.5500000000000003</v>
      </c>
      <c r="L18" s="133" t="s">
        <v>52</v>
      </c>
      <c r="M18" s="14" t="s">
        <v>175</v>
      </c>
      <c r="N18" s="153">
        <v>475</v>
      </c>
      <c r="O18" s="18">
        <f>N18*K18</f>
        <v>1211.2500000000002</v>
      </c>
      <c r="P18" s="19"/>
      <c r="Q18" s="20"/>
      <c r="R18" s="21"/>
      <c r="S18" s="18"/>
      <c r="T18" s="18"/>
      <c r="U18" s="19"/>
      <c r="V18" s="142"/>
      <c r="W18" s="211"/>
    </row>
    <row r="19" spans="1:23" ht="16.95" hidden="1" customHeight="1" x14ac:dyDescent="0.2">
      <c r="A19" s="56"/>
      <c r="B19" s="39"/>
      <c r="C19" s="39"/>
      <c r="D19" s="57" t="s">
        <v>54</v>
      </c>
      <c r="E19" s="39"/>
      <c r="F19" s="36"/>
      <c r="G19" s="36" t="s">
        <v>27</v>
      </c>
      <c r="H19" s="37" t="s">
        <v>55</v>
      </c>
      <c r="I19" s="38">
        <f>K19/J19</f>
        <v>3.8421052631578946E-2</v>
      </c>
      <c r="J19" s="39">
        <v>38</v>
      </c>
      <c r="K19" s="39">
        <v>1.46</v>
      </c>
      <c r="L19" s="134" t="s">
        <v>56</v>
      </c>
      <c r="M19" s="39" t="s">
        <v>173</v>
      </c>
      <c r="N19" s="154">
        <v>375</v>
      </c>
      <c r="O19" s="40">
        <f>N19*K19</f>
        <v>547.5</v>
      </c>
      <c r="P19" s="41">
        <v>103.5</v>
      </c>
      <c r="Q19" s="35">
        <v>9.32</v>
      </c>
      <c r="R19" s="42">
        <v>8.3160000000000007</v>
      </c>
      <c r="S19" s="40">
        <f>R19*P19</f>
        <v>860.70600000000013</v>
      </c>
      <c r="T19" s="40">
        <v>215</v>
      </c>
      <c r="U19" s="41">
        <f>19*5.02</f>
        <v>95.38</v>
      </c>
      <c r="V19" s="148">
        <f>Table13[[#This Row],[Cert Exp]]+Table13[[#This Row],[Labour]]+Table13[[#This Row],[Gold Total]]+O17+O18+Table13[[#This Row],[Diam Total]]</f>
        <v>4369.0860000000002</v>
      </c>
      <c r="W19" s="211"/>
    </row>
    <row r="20" spans="1:23" ht="16.95" hidden="1" customHeight="1" x14ac:dyDescent="0.2">
      <c r="A20" s="81"/>
      <c r="B20" s="82"/>
      <c r="C20" s="82"/>
      <c r="D20" s="83"/>
      <c r="E20" s="84"/>
      <c r="F20" s="83"/>
      <c r="G20" s="83"/>
      <c r="H20" s="86"/>
      <c r="I20" s="92"/>
      <c r="J20" s="82"/>
      <c r="K20" s="90"/>
      <c r="L20" s="131"/>
      <c r="M20" s="82"/>
      <c r="N20" s="156"/>
      <c r="O20" s="93"/>
      <c r="P20" s="94"/>
      <c r="Q20" s="87"/>
      <c r="R20" s="95"/>
      <c r="S20" s="93"/>
      <c r="T20" s="88"/>
      <c r="U20" s="89"/>
      <c r="V20" s="144"/>
      <c r="W20" s="211"/>
    </row>
    <row r="21" spans="1:23" ht="16.95" hidden="1" customHeight="1" x14ac:dyDescent="0.2">
      <c r="A21" s="62">
        <v>5</v>
      </c>
      <c r="B21" s="63" t="s">
        <v>3</v>
      </c>
      <c r="C21" s="63"/>
      <c r="D21" s="64" t="s">
        <v>57</v>
      </c>
      <c r="E21" s="6" t="s">
        <v>14</v>
      </c>
      <c r="F21" s="5" t="s">
        <v>58</v>
      </c>
      <c r="G21" s="64" t="s">
        <v>27</v>
      </c>
      <c r="H21" s="65" t="s">
        <v>17</v>
      </c>
      <c r="I21" s="9">
        <f>K21/J21</f>
        <v>1</v>
      </c>
      <c r="J21" s="4">
        <v>1</v>
      </c>
      <c r="K21" s="12">
        <v>1</v>
      </c>
      <c r="L21" s="128" t="s">
        <v>59</v>
      </c>
      <c r="M21" s="4" t="s">
        <v>172</v>
      </c>
      <c r="N21" s="152">
        <v>1425</v>
      </c>
      <c r="O21" s="10">
        <f>N21*K21</f>
        <v>1425</v>
      </c>
      <c r="P21" s="66"/>
      <c r="Q21" s="67"/>
      <c r="R21" s="68"/>
      <c r="S21" s="69"/>
      <c r="T21" s="69"/>
      <c r="U21" s="66"/>
      <c r="V21" s="141"/>
      <c r="W21" s="211"/>
    </row>
    <row r="22" spans="1:23" ht="16.95" hidden="1" customHeight="1" x14ac:dyDescent="0.2">
      <c r="A22" s="71"/>
      <c r="B22" s="72"/>
      <c r="C22" s="72"/>
      <c r="D22" s="73" t="s">
        <v>60</v>
      </c>
      <c r="E22" s="74"/>
      <c r="F22" s="36"/>
      <c r="G22" s="75" t="s">
        <v>61</v>
      </c>
      <c r="H22" s="76" t="s">
        <v>19</v>
      </c>
      <c r="I22" s="38">
        <f>K22/J22</f>
        <v>0.1076</v>
      </c>
      <c r="J22" s="72">
        <v>50</v>
      </c>
      <c r="K22" s="35">
        <v>5.38</v>
      </c>
      <c r="L22" s="130" t="s">
        <v>62</v>
      </c>
      <c r="M22" s="72" t="s">
        <v>170</v>
      </c>
      <c r="N22" s="154">
        <v>525</v>
      </c>
      <c r="O22" s="40">
        <f>N22*K22</f>
        <v>2824.5</v>
      </c>
      <c r="P22" s="41">
        <v>103.5</v>
      </c>
      <c r="Q22" s="77">
        <v>7.21</v>
      </c>
      <c r="R22" s="78">
        <v>5.9340000000000002</v>
      </c>
      <c r="S22" s="40">
        <f>R22*P22</f>
        <v>614.16899999999998</v>
      </c>
      <c r="T22" s="96">
        <v>205</v>
      </c>
      <c r="U22" s="79">
        <f>19*6.38</f>
        <v>121.22</v>
      </c>
      <c r="V22" s="148">
        <f>Table13[[#This Row],[Cert Exp]]+Table13[[#This Row],[Labour]]+Table13[[#This Row],[Gold Total]]+O21+Table13[[#This Row],[Diam Total]]</f>
        <v>5189.8890000000001</v>
      </c>
      <c r="W22" s="211"/>
    </row>
    <row r="23" spans="1:23" ht="16.95" hidden="1" customHeight="1" x14ac:dyDescent="0.2">
      <c r="A23" s="81"/>
      <c r="B23" s="82"/>
      <c r="C23" s="82"/>
      <c r="D23" s="85"/>
      <c r="E23" s="97"/>
      <c r="F23" s="83"/>
      <c r="G23" s="85"/>
      <c r="H23" s="86"/>
      <c r="I23" s="92"/>
      <c r="J23" s="82"/>
      <c r="K23" s="90"/>
      <c r="L23" s="131"/>
      <c r="M23" s="82"/>
      <c r="N23" s="156"/>
      <c r="O23" s="93"/>
      <c r="P23" s="94"/>
      <c r="Q23" s="87"/>
      <c r="R23" s="95"/>
      <c r="S23" s="93"/>
      <c r="T23" s="88"/>
      <c r="U23" s="89"/>
      <c r="V23" s="144"/>
      <c r="W23" s="211"/>
    </row>
    <row r="24" spans="1:23" ht="16.95" hidden="1" customHeight="1" x14ac:dyDescent="0.2">
      <c r="A24" s="62">
        <v>6</v>
      </c>
      <c r="B24" s="4" t="s">
        <v>63</v>
      </c>
      <c r="C24" s="4"/>
      <c r="D24" s="5" t="s">
        <v>64</v>
      </c>
      <c r="E24" s="6" t="s">
        <v>14</v>
      </c>
      <c r="F24" s="7" t="s">
        <v>65</v>
      </c>
      <c r="G24" s="64" t="s">
        <v>16</v>
      </c>
      <c r="H24" s="65" t="s">
        <v>17</v>
      </c>
      <c r="I24" s="9">
        <f>K24/J24</f>
        <v>1.0900000000000001</v>
      </c>
      <c r="J24" s="4">
        <v>1</v>
      </c>
      <c r="K24" s="7">
        <v>1.0900000000000001</v>
      </c>
      <c r="L24" s="128" t="s">
        <v>28</v>
      </c>
      <c r="M24" s="4" t="s">
        <v>169</v>
      </c>
      <c r="N24" s="152">
        <v>1250</v>
      </c>
      <c r="O24" s="10">
        <f>N24*K24</f>
        <v>1362.5</v>
      </c>
      <c r="P24" s="66"/>
      <c r="Q24" s="12"/>
      <c r="R24" s="80"/>
      <c r="S24" s="69"/>
      <c r="T24" s="69"/>
      <c r="U24" s="66"/>
      <c r="V24" s="141"/>
      <c r="W24" s="211"/>
    </row>
    <row r="25" spans="1:23" ht="16.95" hidden="1" customHeight="1" x14ac:dyDescent="0.2">
      <c r="A25" s="71"/>
      <c r="B25" s="72"/>
      <c r="C25" s="72"/>
      <c r="D25" s="57" t="s">
        <v>66</v>
      </c>
      <c r="E25" s="72"/>
      <c r="F25" s="39"/>
      <c r="G25" s="75" t="s">
        <v>61</v>
      </c>
      <c r="H25" s="76" t="s">
        <v>19</v>
      </c>
      <c r="I25" s="38">
        <f>K25/J25</f>
        <v>0.1024</v>
      </c>
      <c r="J25" s="72">
        <v>50</v>
      </c>
      <c r="K25" s="39">
        <v>5.12</v>
      </c>
      <c r="L25" s="130" t="s">
        <v>62</v>
      </c>
      <c r="M25" s="72" t="s">
        <v>176</v>
      </c>
      <c r="N25" s="154">
        <v>525</v>
      </c>
      <c r="O25" s="40">
        <f>N25*K25</f>
        <v>2688</v>
      </c>
      <c r="P25" s="41">
        <v>103.5</v>
      </c>
      <c r="Q25" s="35">
        <v>10.06</v>
      </c>
      <c r="R25" s="42">
        <v>8.82</v>
      </c>
      <c r="S25" s="40">
        <f>R25*P25</f>
        <v>912.87</v>
      </c>
      <c r="T25" s="96">
        <v>215</v>
      </c>
      <c r="U25" s="79">
        <f>19*6.21</f>
        <v>117.99</v>
      </c>
      <c r="V25" s="148">
        <f>Table13[[#This Row],[Cert Exp]]+Table13[[#This Row],[Labour]]+Table13[[#This Row],[Gold Total]]+O24+Table13[[#This Row],[Diam Total]]</f>
        <v>5296.3600000000006</v>
      </c>
      <c r="W25" s="211"/>
    </row>
    <row r="26" spans="1:23" ht="16.95" hidden="1" customHeight="1" x14ac:dyDescent="0.2">
      <c r="A26" s="81"/>
      <c r="B26" s="98"/>
      <c r="C26" s="98"/>
      <c r="D26" s="83"/>
      <c r="E26" s="99"/>
      <c r="F26" s="100"/>
      <c r="G26" s="85"/>
      <c r="H26" s="86"/>
      <c r="I26" s="87"/>
      <c r="J26" s="82"/>
      <c r="K26" s="90"/>
      <c r="L26" s="131"/>
      <c r="M26" s="82"/>
      <c r="N26" s="156"/>
      <c r="O26" s="88"/>
      <c r="P26" s="89"/>
      <c r="Q26" s="90"/>
      <c r="R26" s="91"/>
      <c r="S26" s="88"/>
      <c r="T26" s="88"/>
      <c r="U26" s="89"/>
      <c r="V26" s="144"/>
      <c r="W26" s="211"/>
    </row>
    <row r="27" spans="1:23" ht="16.95" hidden="1" customHeight="1" x14ac:dyDescent="0.2">
      <c r="A27" s="62">
        <v>7</v>
      </c>
      <c r="B27" s="4" t="s">
        <v>2</v>
      </c>
      <c r="C27" s="4"/>
      <c r="D27" s="5" t="s">
        <v>67</v>
      </c>
      <c r="E27" s="6" t="s">
        <v>14</v>
      </c>
      <c r="F27" s="5" t="s">
        <v>68</v>
      </c>
      <c r="G27" s="64" t="s">
        <v>61</v>
      </c>
      <c r="H27" s="65" t="s">
        <v>69</v>
      </c>
      <c r="I27" s="9">
        <f>K27/J27</f>
        <v>0.23</v>
      </c>
      <c r="J27" s="4">
        <v>15</v>
      </c>
      <c r="K27" s="7">
        <v>3.45</v>
      </c>
      <c r="L27" s="128" t="s">
        <v>56</v>
      </c>
      <c r="M27" s="4" t="s">
        <v>177</v>
      </c>
      <c r="N27" s="152">
        <v>750</v>
      </c>
      <c r="O27" s="10">
        <f>N27*K27</f>
        <v>2587.5</v>
      </c>
      <c r="P27" s="66"/>
      <c r="Q27" s="12"/>
      <c r="R27" s="80"/>
      <c r="S27" s="69"/>
      <c r="T27" s="69"/>
      <c r="U27" s="66"/>
      <c r="V27" s="141"/>
      <c r="W27" s="211"/>
    </row>
    <row r="28" spans="1:23" ht="16.95" hidden="1" customHeight="1" x14ac:dyDescent="0.2">
      <c r="A28" s="71"/>
      <c r="B28" s="72"/>
      <c r="C28" s="72"/>
      <c r="D28" s="57" t="s">
        <v>70</v>
      </c>
      <c r="E28" s="72"/>
      <c r="F28" s="36"/>
      <c r="G28" s="75" t="s">
        <v>71</v>
      </c>
      <c r="H28" s="76" t="s">
        <v>19</v>
      </c>
      <c r="I28" s="38">
        <f>K28/J28</f>
        <v>0.10206896551724137</v>
      </c>
      <c r="J28" s="72">
        <v>29</v>
      </c>
      <c r="K28" s="39">
        <v>2.96</v>
      </c>
      <c r="L28" s="130" t="s">
        <v>72</v>
      </c>
      <c r="M28" s="72" t="s">
        <v>178</v>
      </c>
      <c r="N28" s="154">
        <v>550</v>
      </c>
      <c r="O28" s="40">
        <f>N28*K28</f>
        <v>1628</v>
      </c>
      <c r="P28" s="41">
        <v>103.5</v>
      </c>
      <c r="Q28" s="35">
        <v>8.4</v>
      </c>
      <c r="R28" s="42">
        <v>7.1180000000000003</v>
      </c>
      <c r="S28" s="40">
        <f>R28*P28</f>
        <v>736.71300000000008</v>
      </c>
      <c r="T28" s="96">
        <v>215</v>
      </c>
      <c r="U28" s="79">
        <f>19*6.41</f>
        <v>121.79</v>
      </c>
      <c r="V28" s="148">
        <f>Table13[[#This Row],[Cert Exp]]+Table13[[#This Row],[Labour]]+Table13[[#This Row],[Gold Total]]+O27+Table13[[#This Row],[Diam Total]]</f>
        <v>5289.0030000000006</v>
      </c>
      <c r="W28" s="211"/>
    </row>
    <row r="29" spans="1:23" ht="16.95" hidden="1" customHeight="1" x14ac:dyDescent="0.2">
      <c r="A29" s="59"/>
      <c r="B29" s="60"/>
      <c r="C29" s="60"/>
      <c r="D29" s="61"/>
      <c r="E29" s="151"/>
      <c r="F29" s="61"/>
      <c r="G29" s="61"/>
      <c r="H29" s="61"/>
      <c r="I29" s="60"/>
      <c r="J29" s="60"/>
      <c r="K29" s="60"/>
      <c r="L29" s="127"/>
      <c r="M29" s="60"/>
      <c r="N29" s="155"/>
      <c r="O29" s="60"/>
      <c r="P29" s="60"/>
      <c r="Q29" s="60"/>
      <c r="R29" s="60"/>
      <c r="S29" s="60"/>
      <c r="T29" s="60"/>
      <c r="U29" s="60"/>
      <c r="V29" s="143"/>
      <c r="W29" s="211"/>
    </row>
    <row r="30" spans="1:23" ht="16.95" hidden="1" customHeight="1" x14ac:dyDescent="0.2">
      <c r="A30" s="101">
        <v>8</v>
      </c>
      <c r="B30" s="102" t="s">
        <v>3</v>
      </c>
      <c r="C30" s="102"/>
      <c r="D30" s="103" t="s">
        <v>73</v>
      </c>
      <c r="E30" s="104" t="s">
        <v>14</v>
      </c>
      <c r="F30" s="195" t="s">
        <v>74</v>
      </c>
      <c r="G30" s="103" t="s">
        <v>61</v>
      </c>
      <c r="H30" s="105" t="s">
        <v>75</v>
      </c>
      <c r="I30" s="106">
        <f>K30/J30</f>
        <v>0.1670731707317073</v>
      </c>
      <c r="J30" s="107">
        <v>41</v>
      </c>
      <c r="K30" s="108">
        <v>6.85</v>
      </c>
      <c r="L30" s="135" t="s">
        <v>20</v>
      </c>
      <c r="M30" s="107" t="s">
        <v>179</v>
      </c>
      <c r="N30" s="157">
        <v>550</v>
      </c>
      <c r="O30" s="109">
        <f>N30*K30</f>
        <v>3767.5</v>
      </c>
      <c r="P30" s="110">
        <v>103.5</v>
      </c>
      <c r="Q30" s="111">
        <v>9.75</v>
      </c>
      <c r="R30" s="112">
        <v>8.3800000000000008</v>
      </c>
      <c r="S30" s="109">
        <f>R30*P30</f>
        <v>867.33</v>
      </c>
      <c r="T30" s="113">
        <v>205</v>
      </c>
      <c r="U30" s="114">
        <f>19*K30</f>
        <v>130.15</v>
      </c>
      <c r="V30" s="149">
        <f>Table13[[#This Row],[Cert Exp]]+Table13[[#This Row],[Labour]]+Table13[[#This Row],[Gold Total]]+Table13[[#This Row],[Diam Total]]</f>
        <v>4969.9799999999996</v>
      </c>
      <c r="W30" s="211"/>
    </row>
    <row r="31" spans="1:23" ht="16.95" hidden="1" customHeight="1" x14ac:dyDescent="0.2">
      <c r="A31" s="198"/>
      <c r="B31" s="20"/>
      <c r="C31" s="20"/>
      <c r="D31" s="15"/>
      <c r="E31" s="199"/>
      <c r="F31" s="15"/>
      <c r="G31" s="20"/>
      <c r="H31" s="16"/>
      <c r="I31" s="17"/>
      <c r="J31" s="14"/>
      <c r="K31" s="200"/>
      <c r="L31" s="139"/>
      <c r="M31" s="201"/>
      <c r="N31" s="202"/>
      <c r="O31" s="203"/>
      <c r="P31" s="19"/>
      <c r="Q31" s="20"/>
      <c r="R31" s="21"/>
      <c r="S31" s="33"/>
      <c r="T31" s="33"/>
      <c r="U31" s="33"/>
      <c r="V31" s="204"/>
      <c r="W31" s="211"/>
    </row>
    <row r="32" spans="1:23" ht="16.95" hidden="1" customHeight="1" x14ac:dyDescent="0.2">
      <c r="A32" s="59"/>
      <c r="B32" s="60"/>
      <c r="C32" s="60"/>
      <c r="D32" s="61"/>
      <c r="E32" s="151"/>
      <c r="F32" s="60"/>
      <c r="G32" s="61"/>
      <c r="H32" s="61"/>
      <c r="I32" s="60"/>
      <c r="J32" s="60"/>
      <c r="K32" s="60"/>
      <c r="L32" s="127"/>
      <c r="M32" s="60"/>
      <c r="N32" s="155"/>
      <c r="O32" s="60"/>
      <c r="P32" s="60"/>
      <c r="Q32" s="60"/>
      <c r="R32" s="60"/>
      <c r="S32" s="60"/>
      <c r="T32" s="60"/>
      <c r="U32" s="60"/>
      <c r="V32" s="143"/>
      <c r="W32" s="211"/>
    </row>
    <row r="33" spans="1:23" ht="16.95" hidden="1" customHeight="1" x14ac:dyDescent="0.2">
      <c r="A33" s="62">
        <v>9</v>
      </c>
      <c r="B33" s="63" t="s">
        <v>3</v>
      </c>
      <c r="C33" s="63"/>
      <c r="D33" s="64" t="s">
        <v>76</v>
      </c>
      <c r="E33" s="6" t="s">
        <v>14</v>
      </c>
      <c r="F33" s="5" t="s">
        <v>77</v>
      </c>
      <c r="G33" s="64" t="s">
        <v>61</v>
      </c>
      <c r="H33" s="65" t="s">
        <v>78</v>
      </c>
      <c r="I33" s="9">
        <f>K33/J33</f>
        <v>0.20333333333333334</v>
      </c>
      <c r="J33" s="4">
        <v>18</v>
      </c>
      <c r="K33" s="12">
        <v>3.66</v>
      </c>
      <c r="L33" s="128" t="s">
        <v>62</v>
      </c>
      <c r="M33" s="4" t="s">
        <v>174</v>
      </c>
      <c r="N33" s="152">
        <v>625</v>
      </c>
      <c r="O33" s="10">
        <f>N33*K33</f>
        <v>2287.5</v>
      </c>
      <c r="P33" s="66"/>
      <c r="Q33" s="67"/>
      <c r="R33" s="68"/>
      <c r="S33" s="69"/>
      <c r="T33" s="69"/>
      <c r="U33" s="66"/>
      <c r="V33" s="141"/>
      <c r="W33" s="211"/>
    </row>
    <row r="34" spans="1:23" ht="16.95" hidden="1" customHeight="1" x14ac:dyDescent="0.2">
      <c r="A34" s="71"/>
      <c r="B34" s="72"/>
      <c r="C34" s="72"/>
      <c r="D34" s="73" t="s">
        <v>79</v>
      </c>
      <c r="E34" s="74"/>
      <c r="F34" s="36"/>
      <c r="G34" s="75" t="s">
        <v>27</v>
      </c>
      <c r="H34" s="76" t="s">
        <v>80</v>
      </c>
      <c r="I34" s="38">
        <f>K34/J34</f>
        <v>8.5000000000000006E-2</v>
      </c>
      <c r="J34" s="72">
        <v>36</v>
      </c>
      <c r="K34" s="35">
        <v>3.06</v>
      </c>
      <c r="L34" s="130" t="s">
        <v>20</v>
      </c>
      <c r="M34" s="72" t="s">
        <v>180</v>
      </c>
      <c r="N34" s="154">
        <v>475</v>
      </c>
      <c r="O34" s="40">
        <f>N34*K34</f>
        <v>1453.5</v>
      </c>
      <c r="P34" s="41">
        <v>103.5</v>
      </c>
      <c r="Q34" s="77">
        <v>11.38</v>
      </c>
      <c r="R34" s="78">
        <v>10.036</v>
      </c>
      <c r="S34" s="40">
        <f>R34*P34</f>
        <v>1038.7259999999999</v>
      </c>
      <c r="T34" s="96">
        <v>225</v>
      </c>
      <c r="U34" s="79">
        <f>19*6.72</f>
        <v>127.67999999999999</v>
      </c>
      <c r="V34" s="148">
        <f>Table13[[#This Row],[Cert Exp]]+Table13[[#This Row],[Labour]]+Table13[[#This Row],[Gold Total]]+O33+Table13[[#This Row],[Diam Total]]</f>
        <v>5132.4059999999999</v>
      </c>
      <c r="W34" s="211"/>
    </row>
    <row r="35" spans="1:23" ht="16.95" hidden="1" customHeight="1" x14ac:dyDescent="0.2">
      <c r="A35" s="81"/>
      <c r="B35" s="82"/>
      <c r="C35" s="82"/>
      <c r="D35" s="85"/>
      <c r="E35" s="97"/>
      <c r="F35" s="83"/>
      <c r="G35" s="85"/>
      <c r="H35" s="86"/>
      <c r="I35" s="92"/>
      <c r="J35" s="82"/>
      <c r="K35" s="90"/>
      <c r="L35" s="131"/>
      <c r="M35" s="82"/>
      <c r="N35" s="156"/>
      <c r="O35" s="93"/>
      <c r="P35" s="89"/>
      <c r="Q35" s="87"/>
      <c r="R35" s="95"/>
      <c r="S35" s="88"/>
      <c r="T35" s="88"/>
      <c r="U35" s="89"/>
      <c r="V35" s="144"/>
      <c r="W35" s="211"/>
    </row>
    <row r="36" spans="1:23" ht="16.95" hidden="1" customHeight="1" x14ac:dyDescent="0.2">
      <c r="A36" s="62">
        <v>10</v>
      </c>
      <c r="B36" s="63" t="s">
        <v>3</v>
      </c>
      <c r="C36" s="63"/>
      <c r="D36" s="64" t="s">
        <v>83</v>
      </c>
      <c r="E36" s="6" t="s">
        <v>14</v>
      </c>
      <c r="F36" s="5" t="s">
        <v>84</v>
      </c>
      <c r="G36" s="64" t="s">
        <v>61</v>
      </c>
      <c r="H36" s="65" t="s">
        <v>78</v>
      </c>
      <c r="I36" s="9">
        <f>K36/J36</f>
        <v>0.1990909090909091</v>
      </c>
      <c r="J36" s="4">
        <v>22</v>
      </c>
      <c r="K36" s="12">
        <v>4.38</v>
      </c>
      <c r="L36" s="128" t="s">
        <v>62</v>
      </c>
      <c r="M36" s="4" t="s">
        <v>174</v>
      </c>
      <c r="N36" s="152">
        <v>625</v>
      </c>
      <c r="O36" s="10">
        <f>N36*K36</f>
        <v>2737.5</v>
      </c>
      <c r="P36" s="66"/>
      <c r="Q36" s="67"/>
      <c r="R36" s="68"/>
      <c r="S36" s="69"/>
      <c r="T36" s="69"/>
      <c r="U36" s="66"/>
      <c r="V36" s="141"/>
      <c r="W36" s="211"/>
    </row>
    <row r="37" spans="1:23" ht="16.95" hidden="1" customHeight="1" x14ac:dyDescent="0.2">
      <c r="A37" s="71"/>
      <c r="B37" s="72"/>
      <c r="C37" s="72"/>
      <c r="D37" s="73" t="s">
        <v>85</v>
      </c>
      <c r="E37" s="74"/>
      <c r="F37" s="36"/>
      <c r="G37" s="75" t="s">
        <v>16</v>
      </c>
      <c r="H37" s="76" t="s">
        <v>75</v>
      </c>
      <c r="I37" s="38">
        <f>K37/J37</f>
        <v>0.15727272727272726</v>
      </c>
      <c r="J37" s="72">
        <v>22</v>
      </c>
      <c r="K37" s="35">
        <v>3.46</v>
      </c>
      <c r="L37" s="130" t="s">
        <v>62</v>
      </c>
      <c r="M37" s="72" t="s">
        <v>179</v>
      </c>
      <c r="N37" s="154">
        <v>575</v>
      </c>
      <c r="O37" s="40">
        <f>N37*K37</f>
        <v>1989.5</v>
      </c>
      <c r="P37" s="41">
        <v>103.5</v>
      </c>
      <c r="Q37" s="77">
        <v>8.69</v>
      </c>
      <c r="R37" s="78">
        <v>7.1219999999999999</v>
      </c>
      <c r="S37" s="40">
        <f>R37*P37</f>
        <v>737.12699999999995</v>
      </c>
      <c r="T37" s="96">
        <v>205</v>
      </c>
      <c r="U37" s="79">
        <f>19*7.84</f>
        <v>148.96</v>
      </c>
      <c r="V37" s="148">
        <f>Table13[[#This Row],[Cert Exp]]+Table13[[#This Row],[Labour]]+Table13[[#This Row],[Gold Total]]+O36+Table13[[#This Row],[Diam Total]]</f>
        <v>5818.0869999999995</v>
      </c>
      <c r="W37" s="211"/>
    </row>
    <row r="38" spans="1:23" ht="16.95" hidden="1" customHeight="1" x14ac:dyDescent="0.2">
      <c r="A38" s="81"/>
      <c r="B38" s="82"/>
      <c r="C38" s="82"/>
      <c r="D38" s="85"/>
      <c r="E38" s="97"/>
      <c r="F38" s="83"/>
      <c r="G38" s="85"/>
      <c r="H38" s="86"/>
      <c r="I38" s="92"/>
      <c r="J38" s="82"/>
      <c r="K38" s="90"/>
      <c r="L38" s="131"/>
      <c r="M38" s="82"/>
      <c r="N38" s="156"/>
      <c r="O38" s="93"/>
      <c r="P38" s="89"/>
      <c r="Q38" s="87"/>
      <c r="R38" s="95"/>
      <c r="S38" s="88"/>
      <c r="T38" s="88"/>
      <c r="U38" s="89"/>
      <c r="V38" s="144"/>
      <c r="W38" s="211"/>
    </row>
    <row r="39" spans="1:23" ht="16.95" hidden="1" customHeight="1" x14ac:dyDescent="0.2">
      <c r="A39" s="62">
        <v>11</v>
      </c>
      <c r="B39" s="63" t="s">
        <v>3</v>
      </c>
      <c r="C39" s="63"/>
      <c r="D39" s="64" t="s">
        <v>76</v>
      </c>
      <c r="E39" s="6" t="s">
        <v>14</v>
      </c>
      <c r="F39" s="5" t="s">
        <v>86</v>
      </c>
      <c r="G39" s="64" t="s">
        <v>61</v>
      </c>
      <c r="H39" s="65" t="s">
        <v>78</v>
      </c>
      <c r="I39" s="9">
        <f>K39/J39</f>
        <v>0.20791666666666667</v>
      </c>
      <c r="J39" s="4">
        <v>24</v>
      </c>
      <c r="K39" s="12">
        <v>4.99</v>
      </c>
      <c r="L39" s="128" t="s">
        <v>62</v>
      </c>
      <c r="M39" s="4" t="s">
        <v>174</v>
      </c>
      <c r="N39" s="152">
        <v>625</v>
      </c>
      <c r="O39" s="10">
        <f>N39*K39</f>
        <v>3118.75</v>
      </c>
      <c r="P39" s="66"/>
      <c r="Q39" s="67"/>
      <c r="R39" s="68"/>
      <c r="S39" s="69"/>
      <c r="T39" s="69"/>
      <c r="U39" s="66"/>
      <c r="V39" s="141"/>
      <c r="W39" s="211"/>
    </row>
    <row r="40" spans="1:23" ht="16.95" hidden="1" customHeight="1" x14ac:dyDescent="0.2">
      <c r="A40" s="71"/>
      <c r="B40" s="72"/>
      <c r="C40" s="72"/>
      <c r="D40" s="73" t="s">
        <v>87</v>
      </c>
      <c r="E40" s="74"/>
      <c r="F40" s="36"/>
      <c r="G40" s="75" t="s">
        <v>27</v>
      </c>
      <c r="H40" s="76" t="s">
        <v>88</v>
      </c>
      <c r="I40" s="38">
        <f>K40/J40</f>
        <v>9.1666666666666674E-2</v>
      </c>
      <c r="J40" s="72">
        <v>24</v>
      </c>
      <c r="K40" s="35">
        <v>2.2000000000000002</v>
      </c>
      <c r="L40" s="130" t="s">
        <v>20</v>
      </c>
      <c r="M40" s="72" t="s">
        <v>180</v>
      </c>
      <c r="N40" s="154">
        <v>475</v>
      </c>
      <c r="O40" s="40">
        <f>N40*K40</f>
        <v>1045</v>
      </c>
      <c r="P40" s="41">
        <v>103.5</v>
      </c>
      <c r="Q40" s="77">
        <v>8.66</v>
      </c>
      <c r="R40" s="78">
        <v>7.2220000000000004</v>
      </c>
      <c r="S40" s="40">
        <f>R40*P40</f>
        <v>747.47700000000009</v>
      </c>
      <c r="T40" s="96">
        <v>205</v>
      </c>
      <c r="U40" s="79">
        <f>19*7.19</f>
        <v>136.61000000000001</v>
      </c>
      <c r="V40" s="148">
        <f>Table13[[#This Row],[Cert Exp]]+Table13[[#This Row],[Labour]]+Table13[[#This Row],[Gold Total]]+O39+Table13[[#This Row],[Diam Total]]</f>
        <v>5252.8369999999995</v>
      </c>
      <c r="W40" s="211"/>
    </row>
    <row r="41" spans="1:23" ht="16.95" hidden="1" customHeight="1" x14ac:dyDescent="0.2">
      <c r="A41" s="81"/>
      <c r="B41" s="82"/>
      <c r="C41" s="82"/>
      <c r="D41" s="85"/>
      <c r="E41" s="97"/>
      <c r="F41" s="83"/>
      <c r="G41" s="85"/>
      <c r="H41" s="86"/>
      <c r="I41" s="92"/>
      <c r="J41" s="82"/>
      <c r="K41" s="90"/>
      <c r="L41" s="131"/>
      <c r="M41" s="82"/>
      <c r="N41" s="156"/>
      <c r="O41" s="93"/>
      <c r="P41" s="89"/>
      <c r="Q41" s="87"/>
      <c r="R41" s="95"/>
      <c r="S41" s="88"/>
      <c r="T41" s="88"/>
      <c r="U41" s="89"/>
      <c r="V41" s="144"/>
      <c r="W41" s="211"/>
    </row>
    <row r="42" spans="1:23" ht="16.95" hidden="1" customHeight="1" x14ac:dyDescent="0.2">
      <c r="A42" s="62">
        <v>12</v>
      </c>
      <c r="B42" s="63" t="s">
        <v>3</v>
      </c>
      <c r="C42" s="63"/>
      <c r="D42" s="5" t="s">
        <v>89</v>
      </c>
      <c r="E42" s="6" t="s">
        <v>14</v>
      </c>
      <c r="F42" s="5" t="s">
        <v>90</v>
      </c>
      <c r="G42" s="64" t="s">
        <v>61</v>
      </c>
      <c r="H42" s="65" t="s">
        <v>78</v>
      </c>
      <c r="I42" s="9">
        <f>K42/J42</f>
        <v>0.19760000000000003</v>
      </c>
      <c r="J42" s="4">
        <v>25</v>
      </c>
      <c r="K42" s="7">
        <v>4.9400000000000004</v>
      </c>
      <c r="L42" s="128" t="s">
        <v>62</v>
      </c>
      <c r="M42" s="4" t="s">
        <v>174</v>
      </c>
      <c r="N42" s="152">
        <v>625</v>
      </c>
      <c r="O42" s="10">
        <f>N42*K42</f>
        <v>3087.5000000000005</v>
      </c>
      <c r="P42" s="66"/>
      <c r="Q42" s="12"/>
      <c r="R42" s="80"/>
      <c r="S42" s="69"/>
      <c r="T42" s="69"/>
      <c r="U42" s="66"/>
      <c r="V42" s="141"/>
      <c r="W42" s="211"/>
    </row>
    <row r="43" spans="1:23" ht="16.95" hidden="1" customHeight="1" x14ac:dyDescent="0.2">
      <c r="A43" s="71"/>
      <c r="B43" s="72"/>
      <c r="C43" s="72"/>
      <c r="D43" s="57" t="s">
        <v>91</v>
      </c>
      <c r="E43" s="72"/>
      <c r="F43" s="36"/>
      <c r="G43" s="75" t="s">
        <v>16</v>
      </c>
      <c r="H43" s="76" t="s">
        <v>75</v>
      </c>
      <c r="I43" s="38">
        <f>K43/J43</f>
        <v>0.14833333333333334</v>
      </c>
      <c r="J43" s="72">
        <v>24</v>
      </c>
      <c r="K43" s="39">
        <v>3.56</v>
      </c>
      <c r="L43" s="136" t="s">
        <v>20</v>
      </c>
      <c r="M43" s="72" t="s">
        <v>179</v>
      </c>
      <c r="N43" s="154">
        <v>575</v>
      </c>
      <c r="O43" s="40">
        <f>N43*K43</f>
        <v>2047</v>
      </c>
      <c r="P43" s="41">
        <v>103.5</v>
      </c>
      <c r="Q43" s="35">
        <v>12.27</v>
      </c>
      <c r="R43" s="42">
        <v>10.57</v>
      </c>
      <c r="S43" s="40">
        <f>R43*P43</f>
        <v>1093.9950000000001</v>
      </c>
      <c r="T43" s="96">
        <v>225</v>
      </c>
      <c r="U43" s="79">
        <f>19*8.5</f>
        <v>161.5</v>
      </c>
      <c r="V43" s="148">
        <f>Table13[[#This Row],[Cert Exp]]+Table13[[#This Row],[Labour]]+Table13[[#This Row],[Gold Total]]+O42+Table13[[#This Row],[Diam Total]]</f>
        <v>6614.9950000000008</v>
      </c>
      <c r="W43" s="211"/>
    </row>
    <row r="44" spans="1:23" ht="16.95" hidden="1" customHeight="1" x14ac:dyDescent="0.2">
      <c r="A44" s="59"/>
      <c r="B44" s="60"/>
      <c r="C44" s="60"/>
      <c r="D44" s="61"/>
      <c r="E44" s="151"/>
      <c r="F44" s="60"/>
      <c r="G44" s="61"/>
      <c r="H44" s="61"/>
      <c r="I44" s="60"/>
      <c r="J44" s="60"/>
      <c r="K44" s="60"/>
      <c r="L44" s="127"/>
      <c r="M44" s="60"/>
      <c r="N44" s="155"/>
      <c r="O44" s="60"/>
      <c r="P44" s="60"/>
      <c r="Q44" s="60"/>
      <c r="R44" s="60"/>
      <c r="S44" s="60"/>
      <c r="T44" s="60"/>
      <c r="U44" s="60"/>
      <c r="V44" s="143"/>
      <c r="W44" s="211"/>
    </row>
    <row r="45" spans="1:23" ht="16.95" customHeight="1" x14ac:dyDescent="0.2">
      <c r="A45" s="62">
        <v>13</v>
      </c>
      <c r="B45" s="4" t="s">
        <v>2</v>
      </c>
      <c r="C45" s="4"/>
      <c r="D45" s="5" t="s">
        <v>92</v>
      </c>
      <c r="E45" s="6" t="s">
        <v>14</v>
      </c>
      <c r="F45" s="5" t="s">
        <v>93</v>
      </c>
      <c r="G45" s="64" t="s">
        <v>16</v>
      </c>
      <c r="H45" s="65" t="s">
        <v>17</v>
      </c>
      <c r="I45" s="9">
        <f>K45/J45</f>
        <v>1.03</v>
      </c>
      <c r="J45" s="4">
        <v>1</v>
      </c>
      <c r="K45" s="7">
        <v>1.03</v>
      </c>
      <c r="L45" s="128" t="s">
        <v>94</v>
      </c>
      <c r="M45" s="4" t="s">
        <v>169</v>
      </c>
      <c r="N45" s="152">
        <v>1050</v>
      </c>
      <c r="O45" s="10">
        <f>N45*K45</f>
        <v>1081.5</v>
      </c>
      <c r="P45" s="66"/>
      <c r="Q45" s="12"/>
      <c r="R45" s="80"/>
      <c r="S45" s="69"/>
      <c r="T45" s="69"/>
      <c r="U45" s="66"/>
      <c r="V45" s="141"/>
      <c r="W45" s="212" t="s">
        <v>220</v>
      </c>
    </row>
    <row r="46" spans="1:23" ht="16.95" customHeight="1" x14ac:dyDescent="0.2">
      <c r="A46" s="70"/>
      <c r="B46" s="26"/>
      <c r="C46" s="26"/>
      <c r="D46" s="15"/>
      <c r="E46" s="26"/>
      <c r="F46" s="15"/>
      <c r="G46" s="23" t="s">
        <v>61</v>
      </c>
      <c r="H46" s="25" t="s">
        <v>19</v>
      </c>
      <c r="I46" s="17">
        <f>K46/J46</f>
        <v>0.12499999999999999</v>
      </c>
      <c r="J46" s="26">
        <v>16</v>
      </c>
      <c r="K46" s="20">
        <v>1.9999999999999998</v>
      </c>
      <c r="L46" s="129" t="s">
        <v>56</v>
      </c>
      <c r="M46" s="26" t="s">
        <v>176</v>
      </c>
      <c r="N46" s="153">
        <v>525</v>
      </c>
      <c r="O46" s="18">
        <f>N46*K46</f>
        <v>1049.9999999999998</v>
      </c>
      <c r="P46" s="27"/>
      <c r="Q46" s="20"/>
      <c r="R46" s="32"/>
      <c r="S46" s="30"/>
      <c r="T46" s="30"/>
      <c r="U46" s="27"/>
      <c r="V46" s="142"/>
      <c r="W46" s="212" t="s">
        <v>220</v>
      </c>
    </row>
    <row r="47" spans="1:23" ht="16.95" customHeight="1" x14ac:dyDescent="0.2">
      <c r="A47" s="71"/>
      <c r="B47" s="72"/>
      <c r="C47" s="72"/>
      <c r="D47" s="57" t="s">
        <v>95</v>
      </c>
      <c r="E47" s="72"/>
      <c r="F47" s="36"/>
      <c r="G47" s="75" t="s">
        <v>32</v>
      </c>
      <c r="H47" s="76" t="s">
        <v>19</v>
      </c>
      <c r="I47" s="38">
        <f>K47/J47</f>
        <v>0.1188235294117647</v>
      </c>
      <c r="J47" s="72">
        <v>17</v>
      </c>
      <c r="K47" s="39">
        <v>2.02</v>
      </c>
      <c r="L47" s="57" t="s">
        <v>24</v>
      </c>
      <c r="M47" s="72" t="s">
        <v>174</v>
      </c>
      <c r="N47" s="154">
        <v>575</v>
      </c>
      <c r="O47" s="40">
        <f>N47*K47</f>
        <v>1161.5</v>
      </c>
      <c r="P47" s="41">
        <v>103.5</v>
      </c>
      <c r="Q47" s="35">
        <v>8.0399999999999991</v>
      </c>
      <c r="R47" s="42">
        <v>7.03</v>
      </c>
      <c r="S47" s="40">
        <f>R47*P47</f>
        <v>727.60500000000002</v>
      </c>
      <c r="T47" s="96">
        <v>205</v>
      </c>
      <c r="U47" s="79">
        <f>19*5.05</f>
        <v>95.95</v>
      </c>
      <c r="V47" s="205">
        <f>Table13[[#This Row],[Cert Exp]]+Table13[[#This Row],[Labour]]+Table13[[#This Row],[Gold Total]]+O45+O46+Table13[[#This Row],[Diam Total]]</f>
        <v>4321.5550000000003</v>
      </c>
      <c r="W47" s="212" t="s">
        <v>220</v>
      </c>
    </row>
    <row r="48" spans="1:23" ht="16.95" customHeight="1" x14ac:dyDescent="0.2">
      <c r="A48" s="59"/>
      <c r="B48" s="60"/>
      <c r="C48" s="60"/>
      <c r="D48" s="61"/>
      <c r="E48" s="151"/>
      <c r="F48" s="60"/>
      <c r="G48" s="61"/>
      <c r="H48" s="61"/>
      <c r="I48" s="60"/>
      <c r="J48" s="60"/>
      <c r="K48" s="60"/>
      <c r="L48" s="127"/>
      <c r="M48" s="60"/>
      <c r="N48" s="155"/>
      <c r="O48" s="60"/>
      <c r="P48" s="60"/>
      <c r="Q48" s="60"/>
      <c r="R48" s="60"/>
      <c r="S48" s="60"/>
      <c r="T48" s="60"/>
      <c r="U48" s="60"/>
      <c r="V48" s="143"/>
      <c r="W48" s="212" t="s">
        <v>220</v>
      </c>
    </row>
    <row r="49" spans="1:23" ht="16.95" hidden="1" customHeight="1" x14ac:dyDescent="0.2">
      <c r="A49" s="62">
        <v>14</v>
      </c>
      <c r="B49" s="4"/>
      <c r="C49" s="4"/>
      <c r="D49" s="5" t="s">
        <v>96</v>
      </c>
      <c r="E49" s="6" t="s">
        <v>14</v>
      </c>
      <c r="F49" s="5" t="s">
        <v>97</v>
      </c>
      <c r="G49" s="64" t="s">
        <v>98</v>
      </c>
      <c r="H49" s="65" t="s">
        <v>78</v>
      </c>
      <c r="I49" s="9">
        <f>K49/J49</f>
        <v>0.19928571428571429</v>
      </c>
      <c r="J49" s="4">
        <v>14</v>
      </c>
      <c r="K49" s="7">
        <v>2.79</v>
      </c>
      <c r="L49" s="137" t="s">
        <v>56</v>
      </c>
      <c r="M49" s="4" t="s">
        <v>181</v>
      </c>
      <c r="N49" s="152">
        <v>625</v>
      </c>
      <c r="O49" s="10">
        <f>N49*K49</f>
        <v>1743.75</v>
      </c>
      <c r="P49" s="66"/>
      <c r="Q49" s="12"/>
      <c r="R49" s="80"/>
      <c r="S49" s="69"/>
      <c r="T49" s="69"/>
      <c r="U49" s="66"/>
      <c r="V49" s="141"/>
      <c r="W49" s="211"/>
    </row>
    <row r="50" spans="1:23" ht="16.95" hidden="1" customHeight="1" x14ac:dyDescent="0.2">
      <c r="A50" s="71"/>
      <c r="B50" s="72"/>
      <c r="C50" s="72"/>
      <c r="D50" s="57" t="s">
        <v>99</v>
      </c>
      <c r="E50" s="72"/>
      <c r="F50" s="36"/>
      <c r="G50" s="75" t="s">
        <v>32</v>
      </c>
      <c r="H50" s="76" t="s">
        <v>78</v>
      </c>
      <c r="I50" s="38">
        <f>K50/J50</f>
        <v>0.19571428571428573</v>
      </c>
      <c r="J50" s="72">
        <v>14</v>
      </c>
      <c r="K50" s="39">
        <v>2.74</v>
      </c>
      <c r="L50" s="136" t="s">
        <v>20</v>
      </c>
      <c r="M50" s="72" t="s">
        <v>182</v>
      </c>
      <c r="N50" s="154">
        <v>675</v>
      </c>
      <c r="O50" s="40">
        <f>N50*K50</f>
        <v>1849.5000000000002</v>
      </c>
      <c r="P50" s="41">
        <v>103.5</v>
      </c>
      <c r="Q50" s="35">
        <v>8.58</v>
      </c>
      <c r="R50" s="42">
        <v>7.4740000000000002</v>
      </c>
      <c r="S50" s="40">
        <f>R50*P50</f>
        <v>773.55899999999997</v>
      </c>
      <c r="T50" s="96">
        <v>225</v>
      </c>
      <c r="U50" s="79">
        <f>19*5.53</f>
        <v>105.07000000000001</v>
      </c>
      <c r="V50" s="148">
        <f>Table13[[#This Row],[Cert Exp]]+Table13[[#This Row],[Labour]]+Table13[[#This Row],[Gold Total]]+O49+Table13[[#This Row],[Diam Total]]</f>
        <v>4696.8789999999999</v>
      </c>
      <c r="W50" s="211"/>
    </row>
    <row r="51" spans="1:23" ht="16.95" hidden="1" customHeight="1" x14ac:dyDescent="0.2">
      <c r="A51" s="59"/>
      <c r="B51" s="60"/>
      <c r="C51" s="60"/>
      <c r="D51" s="61"/>
      <c r="E51" s="151"/>
      <c r="F51" s="60"/>
      <c r="G51" s="61"/>
      <c r="H51" s="61"/>
      <c r="I51" s="60"/>
      <c r="J51" s="60"/>
      <c r="K51" s="60"/>
      <c r="L51" s="127"/>
      <c r="M51" s="60"/>
      <c r="N51" s="155"/>
      <c r="O51" s="60"/>
      <c r="P51" s="60"/>
      <c r="Q51" s="60"/>
      <c r="R51" s="60"/>
      <c r="S51" s="60"/>
      <c r="T51" s="60"/>
      <c r="U51" s="60"/>
      <c r="V51" s="143"/>
      <c r="W51" s="211"/>
    </row>
    <row r="52" spans="1:23" ht="16.95" hidden="1" customHeight="1" x14ac:dyDescent="0.2">
      <c r="A52" s="62">
        <v>15</v>
      </c>
      <c r="B52" s="63" t="s">
        <v>3</v>
      </c>
      <c r="C52" s="63"/>
      <c r="D52" s="5" t="s">
        <v>100</v>
      </c>
      <c r="E52" s="6" t="s">
        <v>14</v>
      </c>
      <c r="F52" s="5" t="s">
        <v>101</v>
      </c>
      <c r="G52" s="64" t="s">
        <v>98</v>
      </c>
      <c r="H52" s="65" t="s">
        <v>78</v>
      </c>
      <c r="I52" s="9">
        <f>K52/J52</f>
        <v>0.20249999999999999</v>
      </c>
      <c r="J52" s="4">
        <v>20</v>
      </c>
      <c r="K52" s="7">
        <v>4.05</v>
      </c>
      <c r="L52" s="128" t="s">
        <v>33</v>
      </c>
      <c r="M52" s="4" t="s">
        <v>181</v>
      </c>
      <c r="N52" s="152">
        <v>650</v>
      </c>
      <c r="O52" s="10">
        <f>N52*K52</f>
        <v>2632.5</v>
      </c>
      <c r="P52" s="66"/>
      <c r="Q52" s="12"/>
      <c r="R52" s="80"/>
      <c r="S52" s="69"/>
      <c r="T52" s="69"/>
      <c r="U52" s="66"/>
      <c r="V52" s="141"/>
      <c r="W52" s="211"/>
    </row>
    <row r="53" spans="1:23" ht="16.95" hidden="1" customHeight="1" x14ac:dyDescent="0.2">
      <c r="A53" s="71"/>
      <c r="B53" s="72"/>
      <c r="C53" s="72"/>
      <c r="D53" s="57" t="s">
        <v>102</v>
      </c>
      <c r="E53" s="72"/>
      <c r="F53" s="36"/>
      <c r="G53" s="75" t="s">
        <v>71</v>
      </c>
      <c r="H53" s="76" t="s">
        <v>19</v>
      </c>
      <c r="I53" s="38">
        <f>K53/J53</f>
        <v>8.1052631578947376E-2</v>
      </c>
      <c r="J53" s="72">
        <v>19</v>
      </c>
      <c r="K53" s="39">
        <v>1.54</v>
      </c>
      <c r="L53" s="130" t="s">
        <v>62</v>
      </c>
      <c r="M53" s="72" t="s">
        <v>179</v>
      </c>
      <c r="N53" s="154">
        <v>550</v>
      </c>
      <c r="O53" s="40">
        <f>N53*K53</f>
        <v>847</v>
      </c>
      <c r="P53" s="41">
        <v>103.5</v>
      </c>
      <c r="Q53" s="35">
        <v>7.59</v>
      </c>
      <c r="R53" s="42">
        <v>6.4720000000000004</v>
      </c>
      <c r="S53" s="40">
        <f>R53*P53</f>
        <v>669.85200000000009</v>
      </c>
      <c r="T53" s="96">
        <v>225</v>
      </c>
      <c r="U53" s="79">
        <f>19*5.59</f>
        <v>106.21</v>
      </c>
      <c r="V53" s="148">
        <f>Table13[[#This Row],[Cert Exp]]+Table13[[#This Row],[Labour]]+Table13[[#This Row],[Gold Total]]+O52+Table13[[#This Row],[Diam Total]]</f>
        <v>4480.5619999999999</v>
      </c>
      <c r="W53" s="211"/>
    </row>
    <row r="54" spans="1:23" ht="16.95" hidden="1" customHeight="1" x14ac:dyDescent="0.2">
      <c r="A54" s="59"/>
      <c r="B54" s="60"/>
      <c r="C54" s="60"/>
      <c r="D54" s="61"/>
      <c r="E54" s="151"/>
      <c r="F54" s="60"/>
      <c r="G54" s="61"/>
      <c r="H54" s="61"/>
      <c r="I54" s="60"/>
      <c r="J54" s="60"/>
      <c r="K54" s="60"/>
      <c r="L54" s="127"/>
      <c r="M54" s="60"/>
      <c r="N54" s="155"/>
      <c r="O54" s="60"/>
      <c r="P54" s="60"/>
      <c r="Q54" s="60"/>
      <c r="R54" s="60"/>
      <c r="S54" s="60"/>
      <c r="T54" s="60"/>
      <c r="U54" s="60"/>
      <c r="V54" s="143"/>
      <c r="W54" s="211"/>
    </row>
    <row r="55" spans="1:23" ht="16.95" hidden="1" customHeight="1" x14ac:dyDescent="0.2">
      <c r="A55" s="101">
        <v>16</v>
      </c>
      <c r="B55" s="107" t="s">
        <v>104</v>
      </c>
      <c r="C55" s="107"/>
      <c r="D55" s="103" t="s">
        <v>107</v>
      </c>
      <c r="E55" s="104" t="s">
        <v>14</v>
      </c>
      <c r="F55" s="195" t="s">
        <v>108</v>
      </c>
      <c r="G55" s="103" t="s">
        <v>109</v>
      </c>
      <c r="H55" s="105" t="s">
        <v>78</v>
      </c>
      <c r="I55" s="106">
        <f>K55/J55</f>
        <v>0.200625</v>
      </c>
      <c r="J55" s="107">
        <v>32</v>
      </c>
      <c r="K55" s="108">
        <v>6.42</v>
      </c>
      <c r="L55" s="135" t="s">
        <v>20</v>
      </c>
      <c r="M55" s="107" t="s">
        <v>183</v>
      </c>
      <c r="N55" s="157">
        <v>650</v>
      </c>
      <c r="O55" s="109">
        <f>N55*K55</f>
        <v>4173</v>
      </c>
      <c r="P55" s="110">
        <v>103.5</v>
      </c>
      <c r="Q55" s="111">
        <v>8.25</v>
      </c>
      <c r="R55" s="115">
        <v>6.9660000000000002</v>
      </c>
      <c r="S55" s="109">
        <f>R55*P55</f>
        <v>720.98099999999999</v>
      </c>
      <c r="T55" s="113">
        <v>225</v>
      </c>
      <c r="U55" s="114">
        <f>19*K55</f>
        <v>121.98</v>
      </c>
      <c r="V55" s="149">
        <f>Table13[[#This Row],[Cert Exp]]+Table13[[#This Row],[Labour]]+Table13[[#This Row],[Gold Total]]+Table13[[#This Row],[Diam Total]]</f>
        <v>5240.9610000000002</v>
      </c>
      <c r="W55" s="211"/>
    </row>
    <row r="56" spans="1:23" ht="16.95" hidden="1" customHeight="1" x14ac:dyDescent="0.2">
      <c r="A56" s="198"/>
      <c r="B56" s="20"/>
      <c r="C56" s="20"/>
      <c r="D56" s="15"/>
      <c r="E56" s="199"/>
      <c r="F56" s="15"/>
      <c r="G56" s="20"/>
      <c r="H56" s="16"/>
      <c r="I56" s="17"/>
      <c r="J56" s="14"/>
      <c r="K56" s="200"/>
      <c r="L56" s="139"/>
      <c r="M56" s="201"/>
      <c r="N56" s="202"/>
      <c r="O56" s="203"/>
      <c r="P56" s="19"/>
      <c r="Q56" s="20"/>
      <c r="R56" s="21"/>
      <c r="S56" s="33"/>
      <c r="T56" s="33"/>
      <c r="U56" s="33"/>
      <c r="V56" s="204"/>
      <c r="W56" s="211"/>
    </row>
    <row r="57" spans="1:23" ht="16.95" hidden="1" customHeight="1" x14ac:dyDescent="0.2">
      <c r="A57" s="59"/>
      <c r="B57" s="60"/>
      <c r="C57" s="60"/>
      <c r="D57" s="61"/>
      <c r="E57" s="151"/>
      <c r="F57" s="60"/>
      <c r="G57" s="61"/>
      <c r="H57" s="61"/>
      <c r="I57" s="60"/>
      <c r="J57" s="60"/>
      <c r="K57" s="60"/>
      <c r="L57" s="127"/>
      <c r="M57" s="60"/>
      <c r="N57" s="155"/>
      <c r="O57" s="60"/>
      <c r="P57" s="60"/>
      <c r="Q57" s="60"/>
      <c r="R57" s="60"/>
      <c r="S57" s="60"/>
      <c r="T57" s="60"/>
      <c r="U57" s="60"/>
      <c r="V57" s="143"/>
      <c r="W57" s="211"/>
    </row>
    <row r="58" spans="1:23" ht="16.95" hidden="1" customHeight="1" x14ac:dyDescent="0.2">
      <c r="A58" s="62">
        <v>17</v>
      </c>
      <c r="B58" s="4" t="s">
        <v>105</v>
      </c>
      <c r="C58" s="4"/>
      <c r="D58" s="64" t="s">
        <v>110</v>
      </c>
      <c r="E58" s="6" t="s">
        <v>14</v>
      </c>
      <c r="F58" s="5" t="s">
        <v>111</v>
      </c>
      <c r="G58" s="64" t="s">
        <v>109</v>
      </c>
      <c r="H58" s="65" t="s">
        <v>112</v>
      </c>
      <c r="I58" s="9">
        <f>K58/J58</f>
        <v>0.31437500000000002</v>
      </c>
      <c r="J58" s="4">
        <v>16</v>
      </c>
      <c r="K58" s="7">
        <v>5.03</v>
      </c>
      <c r="L58" s="137" t="s">
        <v>20</v>
      </c>
      <c r="M58" s="4" t="s">
        <v>118</v>
      </c>
      <c r="N58" s="152">
        <v>750</v>
      </c>
      <c r="O58" s="10">
        <f>N58*K58</f>
        <v>3772.5</v>
      </c>
      <c r="P58" s="66"/>
      <c r="Q58" s="12"/>
      <c r="R58" s="13"/>
      <c r="S58" s="69"/>
      <c r="T58" s="69"/>
      <c r="U58" s="66"/>
      <c r="V58" s="141"/>
      <c r="W58" s="211"/>
    </row>
    <row r="59" spans="1:23" ht="16.95" hidden="1" customHeight="1" x14ac:dyDescent="0.2">
      <c r="A59" s="71"/>
      <c r="B59" s="72"/>
      <c r="C59" s="72"/>
      <c r="D59" s="73" t="s">
        <v>113</v>
      </c>
      <c r="E59" s="116"/>
      <c r="F59" s="36"/>
      <c r="G59" s="75" t="s">
        <v>22</v>
      </c>
      <c r="H59" s="76" t="s">
        <v>53</v>
      </c>
      <c r="I59" s="38">
        <f>K59/J59</f>
        <v>0.12687499999999999</v>
      </c>
      <c r="J59" s="72">
        <v>16</v>
      </c>
      <c r="K59" s="39">
        <v>2.0299999999999998</v>
      </c>
      <c r="L59" s="136" t="s">
        <v>56</v>
      </c>
      <c r="M59" s="72" t="s">
        <v>36</v>
      </c>
      <c r="N59" s="154">
        <v>475</v>
      </c>
      <c r="O59" s="40">
        <f>N59*K59</f>
        <v>964.24999999999989</v>
      </c>
      <c r="P59" s="41">
        <v>103.5</v>
      </c>
      <c r="Q59" s="35">
        <v>7.92</v>
      </c>
      <c r="R59" s="42">
        <v>6.4980000000000002</v>
      </c>
      <c r="S59" s="40">
        <f>R59*P59</f>
        <v>672.54300000000001</v>
      </c>
      <c r="T59" s="96">
        <v>205</v>
      </c>
      <c r="U59" s="79">
        <f>19*7.06</f>
        <v>134.13999999999999</v>
      </c>
      <c r="V59" s="148">
        <f>Table13[[#This Row],[Cert Exp]]+Table13[[#This Row],[Labour]]+Table13[[#This Row],[Gold Total]]+O58+Table13[[#This Row],[Diam Total]]</f>
        <v>5748.433</v>
      </c>
      <c r="W59" s="211"/>
    </row>
    <row r="60" spans="1:23" ht="16.95" hidden="1" customHeight="1" x14ac:dyDescent="0.2">
      <c r="A60" s="59"/>
      <c r="B60" s="60"/>
      <c r="C60" s="60"/>
      <c r="D60" s="61"/>
      <c r="E60" s="151"/>
      <c r="F60" s="60"/>
      <c r="G60" s="61"/>
      <c r="H60" s="61"/>
      <c r="I60" s="60"/>
      <c r="J60" s="60"/>
      <c r="K60" s="60"/>
      <c r="L60" s="127"/>
      <c r="M60" s="60"/>
      <c r="N60" s="155"/>
      <c r="O60" s="60"/>
      <c r="P60" s="60"/>
      <c r="Q60" s="60"/>
      <c r="R60" s="60"/>
      <c r="S60" s="60"/>
      <c r="T60" s="60"/>
      <c r="U60" s="60"/>
      <c r="V60" s="143"/>
      <c r="W60" s="211"/>
    </row>
    <row r="61" spans="1:23" ht="16.95" hidden="1" customHeight="1" x14ac:dyDescent="0.2">
      <c r="A61" s="62">
        <v>18</v>
      </c>
      <c r="B61" s="63" t="s">
        <v>106</v>
      </c>
      <c r="C61" s="63"/>
      <c r="D61" s="64" t="s">
        <v>114</v>
      </c>
      <c r="E61" s="6" t="s">
        <v>14</v>
      </c>
      <c r="F61" s="5" t="s">
        <v>115</v>
      </c>
      <c r="G61" s="64" t="s">
        <v>61</v>
      </c>
      <c r="H61" s="65" t="s">
        <v>78</v>
      </c>
      <c r="I61" s="9">
        <f>K61/J61</f>
        <v>0.19285714285714287</v>
      </c>
      <c r="J61" s="4">
        <v>28</v>
      </c>
      <c r="K61" s="12">
        <v>5.4</v>
      </c>
      <c r="L61" s="128" t="s">
        <v>62</v>
      </c>
      <c r="M61" s="4" t="s">
        <v>82</v>
      </c>
      <c r="N61" s="152">
        <v>625</v>
      </c>
      <c r="O61" s="10">
        <f>N61*K61</f>
        <v>3375</v>
      </c>
      <c r="P61" s="66"/>
      <c r="Q61" s="67"/>
      <c r="R61" s="68"/>
      <c r="S61" s="69"/>
      <c r="T61" s="69"/>
      <c r="U61" s="66"/>
      <c r="V61" s="141"/>
      <c r="W61" s="211"/>
    </row>
    <row r="62" spans="1:23" ht="16.95" hidden="1" customHeight="1" x14ac:dyDescent="0.2">
      <c r="A62" s="71"/>
      <c r="B62" s="72"/>
      <c r="C62" s="72"/>
      <c r="D62" s="73" t="s">
        <v>116</v>
      </c>
      <c r="E62" s="74"/>
      <c r="F62" s="36"/>
      <c r="G62" s="75" t="s">
        <v>117</v>
      </c>
      <c r="H62" s="76" t="s">
        <v>75</v>
      </c>
      <c r="I62" s="38">
        <f>K62/J62</f>
        <v>0.14928571428571427</v>
      </c>
      <c r="J62" s="72">
        <v>14</v>
      </c>
      <c r="K62" s="35">
        <v>2.09</v>
      </c>
      <c r="L62" s="130" t="s">
        <v>20</v>
      </c>
      <c r="M62" s="72" t="s">
        <v>119</v>
      </c>
      <c r="N62" s="154">
        <v>675</v>
      </c>
      <c r="O62" s="40">
        <f>N62*K62</f>
        <v>1410.75</v>
      </c>
      <c r="P62" s="41">
        <v>103.5</v>
      </c>
      <c r="Q62" s="77">
        <v>10.79</v>
      </c>
      <c r="R62" s="78">
        <v>9.2919999999999998</v>
      </c>
      <c r="S62" s="40">
        <f>R62*P62</f>
        <v>961.72199999999998</v>
      </c>
      <c r="T62" s="96">
        <v>225</v>
      </c>
      <c r="U62" s="79">
        <f>19*7.49</f>
        <v>142.31</v>
      </c>
      <c r="V62" s="148">
        <f>Table13[[#This Row],[Cert Exp]]+Table13[[#This Row],[Labour]]+Table13[[#This Row],[Gold Total]]+O61+Table13[[#This Row],[Diam Total]]</f>
        <v>6114.7820000000002</v>
      </c>
      <c r="W62" s="211"/>
    </row>
    <row r="63" spans="1:23" ht="16.95" hidden="1" customHeight="1" x14ac:dyDescent="0.2">
      <c r="A63" s="81"/>
      <c r="B63" s="82"/>
      <c r="C63" s="82"/>
      <c r="D63" s="85"/>
      <c r="E63" s="97"/>
      <c r="F63" s="83"/>
      <c r="G63" s="85"/>
      <c r="H63" s="86"/>
      <c r="I63" s="92"/>
      <c r="J63" s="82"/>
      <c r="K63" s="90"/>
      <c r="L63" s="131"/>
      <c r="M63" s="82"/>
      <c r="N63" s="156"/>
      <c r="O63" s="93"/>
      <c r="P63" s="94"/>
      <c r="Q63" s="87"/>
      <c r="R63" s="95"/>
      <c r="S63" s="93"/>
      <c r="T63" s="88"/>
      <c r="U63" s="89"/>
      <c r="V63" s="144"/>
      <c r="W63" s="211"/>
    </row>
    <row r="64" spans="1:23" ht="16.95" hidden="1" customHeight="1" x14ac:dyDescent="0.2">
      <c r="A64" s="62">
        <v>19</v>
      </c>
      <c r="B64" s="4" t="s">
        <v>2</v>
      </c>
      <c r="C64" s="4"/>
      <c r="D64" s="64" t="s">
        <v>120</v>
      </c>
      <c r="E64" s="6" t="s">
        <v>14</v>
      </c>
      <c r="F64" s="5" t="s">
        <v>121</v>
      </c>
      <c r="G64" s="64" t="s">
        <v>98</v>
      </c>
      <c r="H64" s="65" t="s">
        <v>122</v>
      </c>
      <c r="I64" s="9">
        <f>K64/J64</f>
        <v>0.73</v>
      </c>
      <c r="J64" s="4">
        <v>4</v>
      </c>
      <c r="K64" s="12">
        <v>2.92</v>
      </c>
      <c r="L64" s="128" t="s">
        <v>28</v>
      </c>
      <c r="M64" s="4" t="s">
        <v>126</v>
      </c>
      <c r="N64" s="152">
        <v>950</v>
      </c>
      <c r="O64" s="10">
        <f>N64*K64</f>
        <v>2774</v>
      </c>
      <c r="P64" s="66"/>
      <c r="Q64" s="67"/>
      <c r="R64" s="68"/>
      <c r="S64" s="69"/>
      <c r="T64" s="69"/>
      <c r="U64" s="66"/>
      <c r="V64" s="141"/>
      <c r="W64" s="211"/>
    </row>
    <row r="65" spans="1:23" ht="16.95" hidden="1" customHeight="1" x14ac:dyDescent="0.2">
      <c r="A65" s="70"/>
      <c r="B65" s="26"/>
      <c r="C65" s="26"/>
      <c r="D65" s="23"/>
      <c r="E65" s="31"/>
      <c r="F65" s="15"/>
      <c r="G65" s="23" t="s">
        <v>98</v>
      </c>
      <c r="H65" s="25" t="s">
        <v>112</v>
      </c>
      <c r="I65" s="17">
        <f>K65/J65</f>
        <v>0.31</v>
      </c>
      <c r="J65" s="26">
        <v>4</v>
      </c>
      <c r="K65" s="20">
        <v>1.24</v>
      </c>
      <c r="L65" s="129"/>
      <c r="M65" s="26" t="s">
        <v>127</v>
      </c>
      <c r="N65" s="153">
        <v>750</v>
      </c>
      <c r="O65" s="18">
        <f>N65*K65</f>
        <v>930</v>
      </c>
      <c r="P65" s="27"/>
      <c r="Q65" s="28"/>
      <c r="R65" s="29"/>
      <c r="S65" s="30"/>
      <c r="T65" s="30"/>
      <c r="U65" s="27"/>
      <c r="V65" s="142"/>
      <c r="W65" s="211"/>
    </row>
    <row r="66" spans="1:23" ht="16.95" hidden="1" customHeight="1" x14ac:dyDescent="0.2">
      <c r="A66" s="70"/>
      <c r="B66" s="26"/>
      <c r="C66" s="26"/>
      <c r="D66" s="23"/>
      <c r="E66" s="31"/>
      <c r="F66" s="15"/>
      <c r="G66" s="23" t="s">
        <v>32</v>
      </c>
      <c r="H66" s="25" t="s">
        <v>112</v>
      </c>
      <c r="I66" s="17">
        <f>K66/J66</f>
        <v>0.315</v>
      </c>
      <c r="J66" s="26">
        <v>8</v>
      </c>
      <c r="K66" s="20">
        <v>2.52</v>
      </c>
      <c r="L66" s="129" t="s">
        <v>20</v>
      </c>
      <c r="M66" s="26" t="s">
        <v>184</v>
      </c>
      <c r="N66" s="153">
        <v>825</v>
      </c>
      <c r="O66" s="18">
        <f>N66*K66</f>
        <v>2079</v>
      </c>
      <c r="P66" s="27"/>
      <c r="Q66" s="28"/>
      <c r="R66" s="29"/>
      <c r="S66" s="30"/>
      <c r="T66" s="30"/>
      <c r="U66" s="27"/>
      <c r="V66" s="142"/>
      <c r="W66" s="211"/>
    </row>
    <row r="67" spans="1:23" ht="16.95" hidden="1" customHeight="1" x14ac:dyDescent="0.2">
      <c r="A67" s="71"/>
      <c r="B67" s="72"/>
      <c r="C67" s="72"/>
      <c r="D67" s="73" t="s">
        <v>123</v>
      </c>
      <c r="E67" s="74"/>
      <c r="F67" s="36"/>
      <c r="G67" s="75" t="s">
        <v>27</v>
      </c>
      <c r="H67" s="76" t="s">
        <v>124</v>
      </c>
      <c r="I67" s="38">
        <f>K67/J67</f>
        <v>7.9375000000000001E-2</v>
      </c>
      <c r="J67" s="72">
        <v>16</v>
      </c>
      <c r="K67" s="35">
        <v>1.27</v>
      </c>
      <c r="L67" s="130" t="s">
        <v>56</v>
      </c>
      <c r="M67" s="72" t="s">
        <v>180</v>
      </c>
      <c r="N67" s="154">
        <v>455</v>
      </c>
      <c r="O67" s="40">
        <f>N67*K67</f>
        <v>577.85</v>
      </c>
      <c r="P67" s="41">
        <v>103.5</v>
      </c>
      <c r="Q67" s="77">
        <v>10.68</v>
      </c>
      <c r="R67" s="78">
        <v>9.09</v>
      </c>
      <c r="S67" s="40">
        <f>R67*P67</f>
        <v>940.81499999999994</v>
      </c>
      <c r="T67" s="96">
        <v>225</v>
      </c>
      <c r="U67" s="79">
        <f>19*7.95</f>
        <v>151.05000000000001</v>
      </c>
      <c r="V67" s="148">
        <f>Table13[[#This Row],[Cert Exp]]+Table13[[#This Row],[Labour]]+Table13[[#This Row],[Gold Total]]+O64+O65+O66+Table13[[#This Row],[Diam Total]]</f>
        <v>7677.7150000000001</v>
      </c>
      <c r="W67" s="211"/>
    </row>
    <row r="68" spans="1:23" ht="16.95" hidden="1" customHeight="1" x14ac:dyDescent="0.2">
      <c r="A68" s="59"/>
      <c r="B68" s="60"/>
      <c r="C68" s="60"/>
      <c r="D68" s="61"/>
      <c r="E68" s="151"/>
      <c r="F68" s="60"/>
      <c r="G68" s="61"/>
      <c r="H68" s="61"/>
      <c r="I68" s="60"/>
      <c r="J68" s="60"/>
      <c r="K68" s="60"/>
      <c r="L68" s="127"/>
      <c r="M68" s="60"/>
      <c r="N68" s="155"/>
      <c r="O68" s="60"/>
      <c r="P68" s="60"/>
      <c r="Q68" s="60"/>
      <c r="R68" s="60"/>
      <c r="S68" s="60"/>
      <c r="T68" s="60"/>
      <c r="U68" s="60"/>
      <c r="V68" s="143"/>
      <c r="W68" s="211"/>
    </row>
    <row r="69" spans="1:23" ht="16.95" customHeight="1" x14ac:dyDescent="0.2">
      <c r="A69" s="101">
        <v>20</v>
      </c>
      <c r="B69" s="107" t="s">
        <v>2</v>
      </c>
      <c r="C69" s="107"/>
      <c r="D69" s="103" t="s">
        <v>107</v>
      </c>
      <c r="E69" s="104" t="s">
        <v>14</v>
      </c>
      <c r="F69" s="195" t="s">
        <v>125</v>
      </c>
      <c r="G69" s="103" t="s">
        <v>109</v>
      </c>
      <c r="H69" s="105" t="s">
        <v>78</v>
      </c>
      <c r="I69" s="106">
        <f>K69/J69</f>
        <v>0.18693877551020407</v>
      </c>
      <c r="J69" s="107">
        <v>49</v>
      </c>
      <c r="K69" s="108">
        <v>9.16</v>
      </c>
      <c r="L69" s="135" t="s">
        <v>62</v>
      </c>
      <c r="M69" s="107" t="s">
        <v>103</v>
      </c>
      <c r="N69" s="157">
        <v>650</v>
      </c>
      <c r="O69" s="109">
        <f>N69*K69</f>
        <v>5954</v>
      </c>
      <c r="P69" s="110">
        <v>103.5</v>
      </c>
      <c r="Q69" s="111">
        <v>12.74</v>
      </c>
      <c r="R69" s="112">
        <v>10.907999999999999</v>
      </c>
      <c r="S69" s="109">
        <f>R69*P69</f>
        <v>1128.9779999999998</v>
      </c>
      <c r="T69" s="113">
        <v>225</v>
      </c>
      <c r="U69" s="114">
        <f>19*K69</f>
        <v>174.04</v>
      </c>
      <c r="V69" s="206">
        <f>Table13[[#This Row],[Cert Exp]]+Table13[[#This Row],[Labour]]+Table13[[#This Row],[Gold Total]]+Table13[[#This Row],[Diam Total]]</f>
        <v>7482.018</v>
      </c>
      <c r="W69" s="212" t="s">
        <v>220</v>
      </c>
    </row>
    <row r="70" spans="1:23" ht="16.95" customHeight="1" x14ac:dyDescent="0.2">
      <c r="A70" s="117"/>
      <c r="B70" s="84"/>
      <c r="C70" s="84"/>
      <c r="D70" s="83"/>
      <c r="E70" s="84"/>
      <c r="F70" s="83"/>
      <c r="G70" s="83"/>
      <c r="H70" s="118"/>
      <c r="I70" s="92"/>
      <c r="J70" s="84"/>
      <c r="K70" s="84"/>
      <c r="L70" s="138"/>
      <c r="M70" s="84"/>
      <c r="N70" s="156"/>
      <c r="O70" s="93"/>
      <c r="P70" s="94"/>
      <c r="Q70" s="90"/>
      <c r="R70" s="119"/>
      <c r="S70" s="93"/>
      <c r="T70" s="93"/>
      <c r="U70" s="94"/>
      <c r="V70" s="144"/>
      <c r="W70" s="212" t="s">
        <v>220</v>
      </c>
    </row>
    <row r="71" spans="1:23" ht="16.95" hidden="1" customHeight="1" x14ac:dyDescent="0.2">
      <c r="A71" s="62">
        <v>21</v>
      </c>
      <c r="B71" s="63" t="s">
        <v>128</v>
      </c>
      <c r="C71" s="63"/>
      <c r="D71" s="64" t="s">
        <v>129</v>
      </c>
      <c r="E71" s="6" t="s">
        <v>14</v>
      </c>
      <c r="F71" s="5" t="s">
        <v>130</v>
      </c>
      <c r="G71" s="64" t="s">
        <v>131</v>
      </c>
      <c r="H71" s="65" t="s">
        <v>132</v>
      </c>
      <c r="I71" s="9">
        <f>K71/J71</f>
        <v>1.56</v>
      </c>
      <c r="J71" s="4">
        <v>1</v>
      </c>
      <c r="K71" s="12">
        <v>1.56</v>
      </c>
      <c r="L71" s="128" t="s">
        <v>133</v>
      </c>
      <c r="M71" s="4" t="s">
        <v>185</v>
      </c>
      <c r="N71" s="152">
        <v>1025</v>
      </c>
      <c r="O71" s="10">
        <f>N71*K71</f>
        <v>1599</v>
      </c>
      <c r="P71" s="66"/>
      <c r="Q71" s="67"/>
      <c r="R71" s="68"/>
      <c r="S71" s="69"/>
      <c r="T71" s="69"/>
      <c r="U71" s="66"/>
      <c r="V71" s="141"/>
      <c r="W71" s="211"/>
    </row>
    <row r="72" spans="1:23" ht="16.95" hidden="1" customHeight="1" x14ac:dyDescent="0.2">
      <c r="A72" s="71"/>
      <c r="B72" s="72"/>
      <c r="C72" s="72"/>
      <c r="D72" s="73" t="s">
        <v>134</v>
      </c>
      <c r="E72" s="74"/>
      <c r="F72" s="36"/>
      <c r="G72" s="75" t="s">
        <v>27</v>
      </c>
      <c r="H72" s="76" t="s">
        <v>135</v>
      </c>
      <c r="I72" s="38">
        <f>K72/J72</f>
        <v>9.5454545454545459E-2</v>
      </c>
      <c r="J72" s="72">
        <v>55</v>
      </c>
      <c r="K72" s="35">
        <v>5.25</v>
      </c>
      <c r="L72" s="130" t="s">
        <v>24</v>
      </c>
      <c r="M72" s="72" t="s">
        <v>180</v>
      </c>
      <c r="N72" s="154">
        <v>475</v>
      </c>
      <c r="O72" s="40">
        <f>N72*K72</f>
        <v>2493.75</v>
      </c>
      <c r="P72" s="41">
        <v>103.5</v>
      </c>
      <c r="Q72" s="77">
        <v>8.98</v>
      </c>
      <c r="R72" s="78">
        <v>7.6180000000000003</v>
      </c>
      <c r="S72" s="40">
        <f>R72*P72</f>
        <v>788.46300000000008</v>
      </c>
      <c r="T72" s="96">
        <v>205</v>
      </c>
      <c r="U72" s="79">
        <f>19*6.81</f>
        <v>129.38999999999999</v>
      </c>
      <c r="V72" s="148">
        <f>Table13[[#This Row],[Cert Exp]]+Table13[[#This Row],[Labour]]+Table13[[#This Row],[Gold Total]]+O71+Table13[[#This Row],[Diam Total]]</f>
        <v>5215.6030000000001</v>
      </c>
      <c r="W72" s="211"/>
    </row>
    <row r="73" spans="1:23" ht="16.95" hidden="1" customHeight="1" x14ac:dyDescent="0.2">
      <c r="A73" s="59"/>
      <c r="B73" s="60"/>
      <c r="C73" s="60"/>
      <c r="D73" s="61"/>
      <c r="E73" s="151"/>
      <c r="F73" s="60"/>
      <c r="G73" s="61"/>
      <c r="H73" s="61"/>
      <c r="I73" s="60"/>
      <c r="J73" s="60"/>
      <c r="K73" s="60"/>
      <c r="L73" s="127"/>
      <c r="M73" s="60"/>
      <c r="N73" s="155"/>
      <c r="O73" s="60"/>
      <c r="P73" s="60"/>
      <c r="Q73" s="60"/>
      <c r="R73" s="60"/>
      <c r="S73" s="60"/>
      <c r="T73" s="60"/>
      <c r="U73" s="60"/>
      <c r="V73" s="143"/>
      <c r="W73" s="211"/>
    </row>
    <row r="74" spans="1:23" ht="16.95" hidden="1" customHeight="1" x14ac:dyDescent="0.2">
      <c r="A74" s="62">
        <v>22</v>
      </c>
      <c r="B74" s="4" t="s">
        <v>2</v>
      </c>
      <c r="C74" s="4"/>
      <c r="D74" s="5" t="s">
        <v>89</v>
      </c>
      <c r="E74" s="6" t="s">
        <v>14</v>
      </c>
      <c r="F74" s="5" t="s">
        <v>136</v>
      </c>
      <c r="G74" s="64" t="s">
        <v>61</v>
      </c>
      <c r="H74" s="65" t="s">
        <v>78</v>
      </c>
      <c r="I74" s="9">
        <f>K74/J74</f>
        <v>0.21266666666666667</v>
      </c>
      <c r="J74" s="4">
        <v>30</v>
      </c>
      <c r="K74" s="7">
        <v>6.38</v>
      </c>
      <c r="L74" s="128" t="s">
        <v>62</v>
      </c>
      <c r="M74" s="4" t="s">
        <v>81</v>
      </c>
      <c r="N74" s="152">
        <v>625</v>
      </c>
      <c r="O74" s="10">
        <f>N74*K74</f>
        <v>3987.5</v>
      </c>
      <c r="P74" s="66"/>
      <c r="Q74" s="12"/>
      <c r="R74" s="80"/>
      <c r="S74" s="69"/>
      <c r="T74" s="69"/>
      <c r="U74" s="66"/>
      <c r="V74" s="141"/>
      <c r="W74" s="211"/>
    </row>
    <row r="75" spans="1:23" ht="16.95" hidden="1" customHeight="1" x14ac:dyDescent="0.2">
      <c r="A75" s="71"/>
      <c r="B75" s="120"/>
      <c r="C75" s="120"/>
      <c r="D75" s="57" t="s">
        <v>137</v>
      </c>
      <c r="E75" s="116"/>
      <c r="F75" s="36"/>
      <c r="G75" s="75" t="s">
        <v>16</v>
      </c>
      <c r="H75" s="76" t="s">
        <v>19</v>
      </c>
      <c r="I75" s="38">
        <f>K75/J75</f>
        <v>9.8965517241379308E-2</v>
      </c>
      <c r="J75" s="72">
        <v>29</v>
      </c>
      <c r="K75" s="39">
        <v>2.87</v>
      </c>
      <c r="L75" s="136" t="s">
        <v>20</v>
      </c>
      <c r="M75" s="72" t="s">
        <v>35</v>
      </c>
      <c r="N75" s="154">
        <v>550</v>
      </c>
      <c r="O75" s="40">
        <f>N75*K75</f>
        <v>1578.5</v>
      </c>
      <c r="P75" s="41">
        <v>103.5</v>
      </c>
      <c r="Q75" s="35">
        <v>14.5</v>
      </c>
      <c r="R75" s="42">
        <v>12.65</v>
      </c>
      <c r="S75" s="40">
        <f>R75*P75</f>
        <v>1309.2750000000001</v>
      </c>
      <c r="T75" s="96">
        <v>225</v>
      </c>
      <c r="U75" s="79">
        <f>19*9.25</f>
        <v>175.75</v>
      </c>
      <c r="V75" s="148">
        <f>Table13[[#This Row],[Cert Exp]]+Table13[[#This Row],[Labour]]+Table13[[#This Row],[Gold Total]]+O74+Table13[[#This Row],[Diam Total]]</f>
        <v>7276.0249999999996</v>
      </c>
      <c r="W75" s="211"/>
    </row>
    <row r="76" spans="1:23" ht="16.95" hidden="1" customHeight="1" x14ac:dyDescent="0.2">
      <c r="A76" s="59"/>
      <c r="B76" s="60"/>
      <c r="C76" s="60"/>
      <c r="D76" s="61"/>
      <c r="E76" s="151"/>
      <c r="F76" s="60"/>
      <c r="G76" s="61"/>
      <c r="H76" s="61"/>
      <c r="I76" s="60"/>
      <c r="J76" s="60"/>
      <c r="K76" s="60"/>
      <c r="L76" s="127"/>
      <c r="M76" s="60"/>
      <c r="N76" s="155"/>
      <c r="O76" s="60"/>
      <c r="P76" s="60"/>
      <c r="Q76" s="60"/>
      <c r="R76" s="60"/>
      <c r="S76" s="60"/>
      <c r="T76" s="60"/>
      <c r="U76" s="60"/>
      <c r="V76" s="143"/>
      <c r="W76" s="211"/>
    </row>
    <row r="77" spans="1:23" ht="16.95" hidden="1" customHeight="1" x14ac:dyDescent="0.2">
      <c r="A77" s="62">
        <v>23</v>
      </c>
      <c r="B77" s="63" t="s">
        <v>3</v>
      </c>
      <c r="C77" s="63"/>
      <c r="D77" s="64" t="s">
        <v>138</v>
      </c>
      <c r="E77" s="6" t="s">
        <v>14</v>
      </c>
      <c r="F77" s="5" t="s">
        <v>139</v>
      </c>
      <c r="G77" s="64" t="s">
        <v>61</v>
      </c>
      <c r="H77" s="65" t="s">
        <v>78</v>
      </c>
      <c r="I77" s="9">
        <f>K77/J77</f>
        <v>0.19488888888888889</v>
      </c>
      <c r="J77" s="4">
        <v>45</v>
      </c>
      <c r="K77" s="12">
        <v>8.77</v>
      </c>
      <c r="L77" s="128" t="s">
        <v>62</v>
      </c>
      <c r="M77" s="4" t="s">
        <v>174</v>
      </c>
      <c r="N77" s="152">
        <v>625</v>
      </c>
      <c r="O77" s="10">
        <f>N77*K77</f>
        <v>5481.25</v>
      </c>
      <c r="P77" s="66"/>
      <c r="Q77" s="67"/>
      <c r="R77" s="68"/>
      <c r="S77" s="69"/>
      <c r="T77" s="69"/>
      <c r="U77" s="66"/>
      <c r="V77" s="141"/>
      <c r="W77" s="211"/>
    </row>
    <row r="78" spans="1:23" ht="16.95" hidden="1" customHeight="1" x14ac:dyDescent="0.2">
      <c r="A78" s="71"/>
      <c r="B78" s="120"/>
      <c r="C78" s="120"/>
      <c r="D78" s="57" t="s">
        <v>140</v>
      </c>
      <c r="E78" s="121"/>
      <c r="F78" s="36"/>
      <c r="G78" s="75" t="s">
        <v>22</v>
      </c>
      <c r="H78" s="76" t="s">
        <v>141</v>
      </c>
      <c r="I78" s="38">
        <f>K78/J78</f>
        <v>3.7777777777777779E-3</v>
      </c>
      <c r="J78" s="72">
        <v>270</v>
      </c>
      <c r="K78" s="35">
        <v>1.02</v>
      </c>
      <c r="L78" s="130" t="s">
        <v>62</v>
      </c>
      <c r="M78" s="72" t="s">
        <v>170</v>
      </c>
      <c r="N78" s="154">
        <v>550</v>
      </c>
      <c r="O78" s="40">
        <f>N78*K78</f>
        <v>561</v>
      </c>
      <c r="P78" s="41">
        <v>103.5</v>
      </c>
      <c r="Q78" s="77">
        <v>18.52</v>
      </c>
      <c r="R78" s="78">
        <v>16.562000000000001</v>
      </c>
      <c r="S78" s="40">
        <f>R78*P78</f>
        <v>1714.1670000000001</v>
      </c>
      <c r="T78" s="96">
        <v>375</v>
      </c>
      <c r="U78" s="79">
        <f>19*9.79</f>
        <v>186.01</v>
      </c>
      <c r="V78" s="148">
        <f>Table13[[#This Row],[Cert Exp]]+Table13[[#This Row],[Labour]]+Table13[[#This Row],[Gold Total]]+O77+Table13[[#This Row],[Diam Total]]</f>
        <v>8317.4269999999997</v>
      </c>
      <c r="W78" s="211"/>
    </row>
    <row r="79" spans="1:23" ht="16.95" hidden="1" customHeight="1" x14ac:dyDescent="0.2">
      <c r="A79" s="81"/>
      <c r="B79" s="98"/>
      <c r="C79" s="98"/>
      <c r="D79" s="83"/>
      <c r="E79" s="99"/>
      <c r="F79" s="83"/>
      <c r="G79" s="85"/>
      <c r="H79" s="86"/>
      <c r="I79" s="92"/>
      <c r="J79" s="82"/>
      <c r="K79" s="90"/>
      <c r="L79" s="131"/>
      <c r="M79" s="82"/>
      <c r="N79" s="156"/>
      <c r="O79" s="93"/>
      <c r="P79" s="94"/>
      <c r="Q79" s="87"/>
      <c r="R79" s="95"/>
      <c r="S79" s="93"/>
      <c r="T79" s="88"/>
      <c r="U79" s="89"/>
      <c r="V79" s="144"/>
      <c r="W79" s="211"/>
    </row>
    <row r="80" spans="1:23" ht="16.95" hidden="1" customHeight="1" x14ac:dyDescent="0.2">
      <c r="A80" s="54">
        <v>24</v>
      </c>
      <c r="B80" s="12" t="s">
        <v>192</v>
      </c>
      <c r="C80" s="12"/>
      <c r="D80" s="5" t="s">
        <v>143</v>
      </c>
      <c r="E80" s="122" t="s">
        <v>14</v>
      </c>
      <c r="F80" s="5" t="s">
        <v>144</v>
      </c>
      <c r="G80" s="12" t="s">
        <v>22</v>
      </c>
      <c r="H80" s="8" t="s">
        <v>17</v>
      </c>
      <c r="I80" s="9">
        <f>K80/J80</f>
        <v>1</v>
      </c>
      <c r="J80" s="7">
        <v>1</v>
      </c>
      <c r="K80" s="12">
        <v>1</v>
      </c>
      <c r="L80" s="137" t="s">
        <v>52</v>
      </c>
      <c r="M80" s="7" t="s">
        <v>172</v>
      </c>
      <c r="N80" s="152">
        <v>1425</v>
      </c>
      <c r="O80" s="10">
        <f t="shared" ref="O80:O117" si="0">N80*K80</f>
        <v>1425</v>
      </c>
      <c r="P80" s="11"/>
      <c r="Q80" s="12"/>
      <c r="R80" s="13"/>
      <c r="S80" s="123"/>
      <c r="T80" s="123"/>
      <c r="U80" s="123"/>
      <c r="V80" s="145"/>
      <c r="W80" s="211"/>
    </row>
    <row r="81" spans="1:23" ht="16.95" hidden="1" customHeight="1" x14ac:dyDescent="0.2">
      <c r="A81" s="55"/>
      <c r="B81" s="20"/>
      <c r="C81" s="20"/>
      <c r="D81" s="15"/>
      <c r="E81" s="14"/>
      <c r="F81" s="15"/>
      <c r="G81" s="20" t="s">
        <v>22</v>
      </c>
      <c r="H81" s="16" t="s">
        <v>145</v>
      </c>
      <c r="I81" s="17">
        <f>K81/J81</f>
        <v>0.9</v>
      </c>
      <c r="J81" s="14">
        <v>1</v>
      </c>
      <c r="K81" s="20">
        <v>0.9</v>
      </c>
      <c r="L81" s="139" t="s">
        <v>52</v>
      </c>
      <c r="M81" s="14" t="s">
        <v>186</v>
      </c>
      <c r="N81" s="153">
        <v>1075</v>
      </c>
      <c r="O81" s="18">
        <f t="shared" si="0"/>
        <v>967.5</v>
      </c>
      <c r="P81" s="19"/>
      <c r="Q81" s="20"/>
      <c r="R81" s="21"/>
      <c r="S81" s="33"/>
      <c r="T81" s="33"/>
      <c r="U81" s="33"/>
      <c r="V81" s="146"/>
      <c r="W81" s="211"/>
    </row>
    <row r="82" spans="1:23" ht="16.95" hidden="1" customHeight="1" x14ac:dyDescent="0.2">
      <c r="A82" s="55"/>
      <c r="B82" s="20"/>
      <c r="C82" s="20"/>
      <c r="D82" s="15"/>
      <c r="E82" s="14"/>
      <c r="F82" s="15"/>
      <c r="G82" s="20" t="s">
        <v>22</v>
      </c>
      <c r="H82" s="16" t="s">
        <v>146</v>
      </c>
      <c r="I82" s="17">
        <f>K82/J82</f>
        <v>0.54999999999999993</v>
      </c>
      <c r="J82" s="14">
        <v>12</v>
      </c>
      <c r="K82" s="20">
        <v>6.6</v>
      </c>
      <c r="L82" s="139" t="s">
        <v>52</v>
      </c>
      <c r="M82" s="14" t="s">
        <v>177</v>
      </c>
      <c r="N82" s="153">
        <v>725</v>
      </c>
      <c r="O82" s="18">
        <f t="shared" si="0"/>
        <v>4785</v>
      </c>
      <c r="P82" s="19"/>
      <c r="Q82" s="20"/>
      <c r="R82" s="21"/>
      <c r="S82" s="33"/>
      <c r="T82" s="33"/>
      <c r="U82" s="33"/>
      <c r="V82" s="146"/>
      <c r="W82" s="211"/>
    </row>
    <row r="83" spans="1:23" ht="16.95" hidden="1" customHeight="1" x14ac:dyDescent="0.2">
      <c r="A83" s="55"/>
      <c r="B83" s="20"/>
      <c r="C83" s="20"/>
      <c r="D83" s="15"/>
      <c r="E83" s="14"/>
      <c r="F83" s="15"/>
      <c r="G83" s="20" t="s">
        <v>109</v>
      </c>
      <c r="H83" s="16" t="s">
        <v>19</v>
      </c>
      <c r="I83" s="17">
        <f>K83/J83</f>
        <v>0.10642857142857143</v>
      </c>
      <c r="J83" s="14">
        <v>28</v>
      </c>
      <c r="K83" s="20">
        <v>2.98</v>
      </c>
      <c r="L83" s="139" t="s">
        <v>20</v>
      </c>
      <c r="M83" s="14" t="s">
        <v>176</v>
      </c>
      <c r="N83" s="153">
        <v>525</v>
      </c>
      <c r="O83" s="18">
        <f t="shared" si="0"/>
        <v>1564.5</v>
      </c>
      <c r="P83" s="19"/>
      <c r="Q83" s="20"/>
      <c r="R83" s="21"/>
      <c r="S83" s="33"/>
      <c r="T83" s="33"/>
      <c r="U83" s="33"/>
      <c r="V83" s="146"/>
      <c r="W83" s="211"/>
    </row>
    <row r="84" spans="1:23" ht="16.95" hidden="1" customHeight="1" x14ac:dyDescent="0.2">
      <c r="A84" s="56"/>
      <c r="B84" s="35"/>
      <c r="C84" s="35"/>
      <c r="D84" s="57" t="s">
        <v>147</v>
      </c>
      <c r="E84" s="39"/>
      <c r="F84" s="36"/>
      <c r="G84" s="35" t="s">
        <v>32</v>
      </c>
      <c r="H84" s="37" t="s">
        <v>19</v>
      </c>
      <c r="I84" s="38">
        <f>K84/J84</f>
        <v>9.2999999999999999E-2</v>
      </c>
      <c r="J84" s="39">
        <v>20</v>
      </c>
      <c r="K84" s="35">
        <v>1.86</v>
      </c>
      <c r="L84" s="136" t="s">
        <v>20</v>
      </c>
      <c r="M84" s="39" t="s">
        <v>179</v>
      </c>
      <c r="N84" s="154">
        <v>550</v>
      </c>
      <c r="O84" s="40">
        <f t="shared" si="0"/>
        <v>1023</v>
      </c>
      <c r="P84" s="41">
        <v>103.5</v>
      </c>
      <c r="Q84" s="35">
        <v>23.82</v>
      </c>
      <c r="R84" s="42">
        <v>21.152000000000001</v>
      </c>
      <c r="S84" s="40">
        <f>R84*P84</f>
        <v>2189.232</v>
      </c>
      <c r="T84" s="43">
        <v>500</v>
      </c>
      <c r="U84" s="43">
        <f>19*13.34</f>
        <v>253.46</v>
      </c>
      <c r="V84" s="150">
        <f>Table13[[#This Row],[Cert Exp]]+Table13[[#This Row],[Labour]]+Table13[[#This Row],[Gold Total]]+O80+O81+O82+O83+Table13[[#This Row],[Diam Total]]</f>
        <v>12707.691999999999</v>
      </c>
      <c r="W84" s="211"/>
    </row>
    <row r="85" spans="1:23" ht="16.95" hidden="1" customHeight="1" x14ac:dyDescent="0.2">
      <c r="A85" s="117"/>
      <c r="B85" s="90"/>
      <c r="C85" s="90"/>
      <c r="D85" s="83"/>
      <c r="E85" s="84"/>
      <c r="F85" s="83"/>
      <c r="G85" s="90"/>
      <c r="H85" s="118"/>
      <c r="I85" s="90"/>
      <c r="J85" s="84"/>
      <c r="K85" s="90"/>
      <c r="L85" s="140"/>
      <c r="M85" s="84"/>
      <c r="N85" s="156"/>
      <c r="O85" s="124"/>
      <c r="P85" s="94"/>
      <c r="Q85" s="90"/>
      <c r="R85" s="119"/>
      <c r="S85" s="124"/>
      <c r="T85" s="124"/>
      <c r="U85" s="124"/>
      <c r="V85" s="147"/>
      <c r="W85" s="211"/>
    </row>
    <row r="86" spans="1:23" ht="16.95" hidden="1" customHeight="1" x14ac:dyDescent="0.2">
      <c r="A86" s="54">
        <v>25</v>
      </c>
      <c r="B86" s="12" t="s">
        <v>192</v>
      </c>
      <c r="C86" s="12"/>
      <c r="D86" s="5" t="s">
        <v>148</v>
      </c>
      <c r="E86" s="122" t="s">
        <v>14</v>
      </c>
      <c r="F86" s="5" t="s">
        <v>149</v>
      </c>
      <c r="G86" s="12" t="s">
        <v>109</v>
      </c>
      <c r="H86" s="8" t="s">
        <v>112</v>
      </c>
      <c r="I86" s="9">
        <f t="shared" ref="I86:I119" si="1">K86/J86</f>
        <v>0.36000000000000004</v>
      </c>
      <c r="J86" s="7">
        <v>1</v>
      </c>
      <c r="K86" s="12">
        <v>0.36000000000000004</v>
      </c>
      <c r="L86" s="137" t="s">
        <v>20</v>
      </c>
      <c r="M86" s="7" t="s">
        <v>182</v>
      </c>
      <c r="N86" s="152">
        <v>775</v>
      </c>
      <c r="O86" s="10">
        <f t="shared" si="0"/>
        <v>279.00000000000006</v>
      </c>
      <c r="P86" s="11"/>
      <c r="Q86" s="12"/>
      <c r="R86" s="13"/>
      <c r="S86" s="123"/>
      <c r="T86" s="123"/>
      <c r="U86" s="123"/>
      <c r="V86" s="145"/>
      <c r="W86" s="211"/>
    </row>
    <row r="87" spans="1:23" ht="16.95" hidden="1" customHeight="1" x14ac:dyDescent="0.2">
      <c r="A87" s="55"/>
      <c r="B87" s="20"/>
      <c r="C87" s="20"/>
      <c r="D87" s="15"/>
      <c r="E87" s="14"/>
      <c r="F87" s="15"/>
      <c r="G87" s="20" t="s">
        <v>109</v>
      </c>
      <c r="H87" s="16" t="s">
        <v>69</v>
      </c>
      <c r="I87" s="17">
        <f t="shared" si="1"/>
        <v>0.246</v>
      </c>
      <c r="J87" s="14">
        <v>5</v>
      </c>
      <c r="K87" s="20">
        <v>1.23</v>
      </c>
      <c r="L87" s="139" t="s">
        <v>20</v>
      </c>
      <c r="M87" s="14" t="s">
        <v>181</v>
      </c>
      <c r="N87" s="153">
        <v>725</v>
      </c>
      <c r="O87" s="18">
        <f t="shared" si="0"/>
        <v>891.75</v>
      </c>
      <c r="P87" s="19"/>
      <c r="Q87" s="20"/>
      <c r="R87" s="21"/>
      <c r="S87" s="33"/>
      <c r="T87" s="33"/>
      <c r="U87" s="33"/>
      <c r="V87" s="146"/>
      <c r="W87" s="211"/>
    </row>
    <row r="88" spans="1:23" ht="16.95" hidden="1" customHeight="1" x14ac:dyDescent="0.2">
      <c r="A88" s="55"/>
      <c r="B88" s="20"/>
      <c r="C88" s="20"/>
      <c r="D88" s="15"/>
      <c r="E88" s="14"/>
      <c r="F88" s="15"/>
      <c r="G88" s="20" t="s">
        <v>109</v>
      </c>
      <c r="H88" s="16" t="s">
        <v>78</v>
      </c>
      <c r="I88" s="17">
        <f t="shared" si="1"/>
        <v>0.19</v>
      </c>
      <c r="J88" s="14">
        <v>2</v>
      </c>
      <c r="K88" s="20">
        <v>0.38</v>
      </c>
      <c r="L88" s="139" t="s">
        <v>20</v>
      </c>
      <c r="M88" s="14" t="s">
        <v>183</v>
      </c>
      <c r="N88" s="153">
        <v>675</v>
      </c>
      <c r="O88" s="18">
        <f t="shared" si="0"/>
        <v>256.5</v>
      </c>
      <c r="P88" s="19"/>
      <c r="Q88" s="20"/>
      <c r="R88" s="21"/>
      <c r="S88" s="33"/>
      <c r="T88" s="33"/>
      <c r="U88" s="33"/>
      <c r="V88" s="146"/>
      <c r="W88" s="211"/>
    </row>
    <row r="89" spans="1:23" ht="16.95" hidden="1" customHeight="1" x14ac:dyDescent="0.2">
      <c r="A89" s="55"/>
      <c r="B89" s="20"/>
      <c r="C89" s="20"/>
      <c r="D89" s="15"/>
      <c r="E89" s="14"/>
      <c r="F89" s="15"/>
      <c r="G89" s="20" t="s">
        <v>32</v>
      </c>
      <c r="H89" s="16" t="s">
        <v>69</v>
      </c>
      <c r="I89" s="17">
        <f t="shared" si="1"/>
        <v>0.25124999999999997</v>
      </c>
      <c r="J89" s="14">
        <v>8</v>
      </c>
      <c r="K89" s="20">
        <v>2.0099999999999998</v>
      </c>
      <c r="L89" s="139" t="s">
        <v>20</v>
      </c>
      <c r="M89" s="14" t="s">
        <v>187</v>
      </c>
      <c r="N89" s="153">
        <v>725</v>
      </c>
      <c r="O89" s="18">
        <f t="shared" si="0"/>
        <v>1457.2499999999998</v>
      </c>
      <c r="P89" s="19"/>
      <c r="Q89" s="20"/>
      <c r="R89" s="21"/>
      <c r="S89" s="33"/>
      <c r="T89" s="33"/>
      <c r="U89" s="33"/>
      <c r="V89" s="146"/>
      <c r="W89" s="211"/>
    </row>
    <row r="90" spans="1:23" ht="16.95" hidden="1" customHeight="1" x14ac:dyDescent="0.2">
      <c r="A90" s="55"/>
      <c r="B90" s="20"/>
      <c r="C90" s="20"/>
      <c r="D90" s="15"/>
      <c r="E90" s="14"/>
      <c r="F90" s="15"/>
      <c r="G90" s="20" t="s">
        <v>150</v>
      </c>
      <c r="H90" s="16" t="s">
        <v>19</v>
      </c>
      <c r="I90" s="17">
        <f t="shared" si="1"/>
        <v>0.10928571428571429</v>
      </c>
      <c r="J90" s="14">
        <v>14</v>
      </c>
      <c r="K90" s="20">
        <v>1.53</v>
      </c>
      <c r="L90" s="139" t="s">
        <v>20</v>
      </c>
      <c r="M90" s="14" t="s">
        <v>176</v>
      </c>
      <c r="N90" s="153">
        <v>525</v>
      </c>
      <c r="O90" s="18">
        <f t="shared" si="0"/>
        <v>803.25</v>
      </c>
      <c r="P90" s="19"/>
      <c r="Q90" s="20"/>
      <c r="R90" s="21"/>
      <c r="S90" s="33"/>
      <c r="T90" s="33"/>
      <c r="U90" s="33"/>
      <c r="V90" s="146"/>
      <c r="W90" s="211"/>
    </row>
    <row r="91" spans="1:23" ht="16.95" hidden="1" customHeight="1" x14ac:dyDescent="0.2">
      <c r="A91" s="55"/>
      <c r="B91" s="20"/>
      <c r="C91" s="20"/>
      <c r="D91" s="15"/>
      <c r="E91" s="14"/>
      <c r="F91" s="15"/>
      <c r="G91" s="20" t="s">
        <v>117</v>
      </c>
      <c r="H91" s="16" t="s">
        <v>75</v>
      </c>
      <c r="I91" s="17">
        <f t="shared" si="1"/>
        <v>0.15133333333333335</v>
      </c>
      <c r="J91" s="14">
        <v>15</v>
      </c>
      <c r="K91" s="20">
        <v>2.27</v>
      </c>
      <c r="L91" s="139" t="s">
        <v>20</v>
      </c>
      <c r="M91" s="14" t="s">
        <v>178</v>
      </c>
      <c r="N91" s="153">
        <v>675</v>
      </c>
      <c r="O91" s="18">
        <f t="shared" si="0"/>
        <v>1532.25</v>
      </c>
      <c r="P91" s="19"/>
      <c r="Q91" s="20"/>
      <c r="R91" s="21"/>
      <c r="S91" s="33"/>
      <c r="T91" s="33"/>
      <c r="U91" s="33"/>
      <c r="V91" s="146"/>
      <c r="W91" s="211"/>
    </row>
    <row r="92" spans="1:23" ht="16.95" hidden="1" customHeight="1" x14ac:dyDescent="0.2">
      <c r="A92" s="56"/>
      <c r="B92" s="35"/>
      <c r="C92" s="35"/>
      <c r="D92" s="57" t="s">
        <v>151</v>
      </c>
      <c r="E92" s="39"/>
      <c r="F92" s="36"/>
      <c r="G92" s="35" t="s">
        <v>22</v>
      </c>
      <c r="H92" s="37" t="s">
        <v>135</v>
      </c>
      <c r="I92" s="38">
        <f t="shared" si="1"/>
        <v>8.9154929577464792E-2</v>
      </c>
      <c r="J92" s="39">
        <v>71</v>
      </c>
      <c r="K92" s="35">
        <v>6.33</v>
      </c>
      <c r="L92" s="136" t="s">
        <v>52</v>
      </c>
      <c r="M92" s="39" t="s">
        <v>180</v>
      </c>
      <c r="N92" s="154">
        <v>475</v>
      </c>
      <c r="O92" s="40">
        <f t="shared" si="0"/>
        <v>3006.75</v>
      </c>
      <c r="P92" s="41">
        <v>103.5</v>
      </c>
      <c r="Q92" s="35">
        <v>23.84</v>
      </c>
      <c r="R92" s="58">
        <v>21.02</v>
      </c>
      <c r="S92" s="40">
        <f>R92*P92</f>
        <v>2175.5700000000002</v>
      </c>
      <c r="T92" s="43">
        <v>500</v>
      </c>
      <c r="U92" s="43">
        <f>19*14.11</f>
        <v>268.08999999999997</v>
      </c>
      <c r="V92" s="150">
        <f>Table13[[#This Row],[Cert Exp]]+Table13[[#This Row],[Labour]]+Table13[[#This Row],[Gold Total]]+O86+O87+O88+O89+O90+O91+Table13[[#This Row],[Diam Total]]</f>
        <v>11170.41</v>
      </c>
      <c r="W92" s="211"/>
    </row>
    <row r="93" spans="1:23" ht="16.95" hidden="1" customHeight="1" x14ac:dyDescent="0.2">
      <c r="A93" s="117"/>
      <c r="B93" s="90"/>
      <c r="C93" s="90"/>
      <c r="D93" s="83"/>
      <c r="E93" s="84"/>
      <c r="F93" s="83"/>
      <c r="G93" s="90"/>
      <c r="H93" s="118"/>
      <c r="I93" s="90"/>
      <c r="J93" s="84"/>
      <c r="K93" s="90"/>
      <c r="L93" s="140"/>
      <c r="M93" s="84"/>
      <c r="N93" s="156"/>
      <c r="O93" s="124"/>
      <c r="P93" s="94"/>
      <c r="Q93" s="90"/>
      <c r="R93" s="119"/>
      <c r="S93" s="124"/>
      <c r="T93" s="124"/>
      <c r="U93" s="124"/>
      <c r="V93" s="147"/>
      <c r="W93" s="211"/>
    </row>
    <row r="94" spans="1:23" ht="16.95" hidden="1" customHeight="1" x14ac:dyDescent="0.2">
      <c r="A94" s="54">
        <v>26</v>
      </c>
      <c r="B94" s="12" t="s">
        <v>192</v>
      </c>
      <c r="C94" s="12"/>
      <c r="D94" s="5" t="s">
        <v>152</v>
      </c>
      <c r="E94" s="122" t="s">
        <v>14</v>
      </c>
      <c r="F94" s="5" t="s">
        <v>153</v>
      </c>
      <c r="G94" s="12" t="s">
        <v>109</v>
      </c>
      <c r="H94" s="8" t="s">
        <v>154</v>
      </c>
      <c r="I94" s="9">
        <f t="shared" si="1"/>
        <v>0.72</v>
      </c>
      <c r="J94" s="7">
        <v>1</v>
      </c>
      <c r="K94" s="12">
        <v>0.72</v>
      </c>
      <c r="L94" s="137" t="s">
        <v>20</v>
      </c>
      <c r="M94" s="7" t="s">
        <v>188</v>
      </c>
      <c r="N94" s="152">
        <v>1125</v>
      </c>
      <c r="O94" s="10">
        <f t="shared" si="0"/>
        <v>810</v>
      </c>
      <c r="P94" s="11"/>
      <c r="Q94" s="12"/>
      <c r="R94" s="13"/>
      <c r="S94" s="123"/>
      <c r="T94" s="123"/>
      <c r="U94" s="123"/>
      <c r="V94" s="145"/>
      <c r="W94" s="211"/>
    </row>
    <row r="95" spans="1:23" ht="16.95" hidden="1" customHeight="1" x14ac:dyDescent="0.2">
      <c r="A95" s="55"/>
      <c r="B95" s="20"/>
      <c r="C95" s="20"/>
      <c r="D95" s="15" t="s">
        <v>155</v>
      </c>
      <c r="E95" s="14"/>
      <c r="F95" s="15"/>
      <c r="G95" s="20" t="s">
        <v>109</v>
      </c>
      <c r="H95" s="16" t="s">
        <v>156</v>
      </c>
      <c r="I95" s="17">
        <f t="shared" si="1"/>
        <v>0.42250000000000004</v>
      </c>
      <c r="J95" s="14">
        <v>4</v>
      </c>
      <c r="K95" s="20">
        <v>1.6900000000000002</v>
      </c>
      <c r="L95" s="139"/>
      <c r="M95" s="14" t="s">
        <v>189</v>
      </c>
      <c r="N95" s="153">
        <v>875</v>
      </c>
      <c r="O95" s="18">
        <f t="shared" si="0"/>
        <v>1478.7500000000002</v>
      </c>
      <c r="P95" s="19"/>
      <c r="Q95" s="20"/>
      <c r="R95" s="21"/>
      <c r="S95" s="33"/>
      <c r="T95" s="33"/>
      <c r="U95" s="33"/>
      <c r="V95" s="146"/>
      <c r="W95" s="211"/>
    </row>
    <row r="96" spans="1:23" ht="16.95" hidden="1" customHeight="1" x14ac:dyDescent="0.2">
      <c r="A96" s="55"/>
      <c r="B96" s="20"/>
      <c r="C96" s="20"/>
      <c r="D96" s="15"/>
      <c r="E96" s="14"/>
      <c r="F96" s="15"/>
      <c r="G96" s="20" t="s">
        <v>109</v>
      </c>
      <c r="H96" s="16" t="s">
        <v>112</v>
      </c>
      <c r="I96" s="17">
        <f t="shared" si="1"/>
        <v>0.32222222222222219</v>
      </c>
      <c r="J96" s="14">
        <v>9</v>
      </c>
      <c r="K96" s="20">
        <v>2.9</v>
      </c>
      <c r="L96" s="139"/>
      <c r="M96" s="14" t="s">
        <v>182</v>
      </c>
      <c r="N96" s="153">
        <v>775</v>
      </c>
      <c r="O96" s="18">
        <f t="shared" si="0"/>
        <v>2247.5</v>
      </c>
      <c r="P96" s="19"/>
      <c r="Q96" s="20"/>
      <c r="R96" s="21"/>
      <c r="S96" s="33"/>
      <c r="T96" s="33"/>
      <c r="U96" s="33"/>
      <c r="V96" s="146"/>
      <c r="W96" s="211"/>
    </row>
    <row r="97" spans="1:23" ht="16.95" hidden="1" customHeight="1" x14ac:dyDescent="0.2">
      <c r="A97" s="55"/>
      <c r="B97" s="20"/>
      <c r="C97" s="20"/>
      <c r="D97" s="15"/>
      <c r="E97" s="14"/>
      <c r="F97" s="15"/>
      <c r="G97" s="20" t="s">
        <v>109</v>
      </c>
      <c r="H97" s="16" t="s">
        <v>69</v>
      </c>
      <c r="I97" s="17">
        <f t="shared" si="1"/>
        <v>0.23333333333333331</v>
      </c>
      <c r="J97" s="14">
        <v>3</v>
      </c>
      <c r="K97" s="20">
        <v>0.7</v>
      </c>
      <c r="L97" s="139"/>
      <c r="M97" s="14" t="s">
        <v>181</v>
      </c>
      <c r="N97" s="153">
        <v>725</v>
      </c>
      <c r="O97" s="18">
        <f t="shared" si="0"/>
        <v>507.49999999999994</v>
      </c>
      <c r="P97" s="19"/>
      <c r="Q97" s="20"/>
      <c r="R97" s="21"/>
      <c r="S97" s="33"/>
      <c r="T97" s="33"/>
      <c r="U97" s="33"/>
      <c r="V97" s="146"/>
      <c r="W97" s="211"/>
    </row>
    <row r="98" spans="1:23" ht="16.95" hidden="1" customHeight="1" x14ac:dyDescent="0.2">
      <c r="A98" s="55"/>
      <c r="B98" s="20"/>
      <c r="C98" s="20"/>
      <c r="D98" s="15"/>
      <c r="E98" s="14"/>
      <c r="F98" s="15"/>
      <c r="G98" s="20" t="s">
        <v>32</v>
      </c>
      <c r="H98" s="16" t="s">
        <v>156</v>
      </c>
      <c r="I98" s="17">
        <f t="shared" si="1"/>
        <v>0.41499999999999998</v>
      </c>
      <c r="J98" s="14">
        <v>4</v>
      </c>
      <c r="K98" s="20">
        <v>1.66</v>
      </c>
      <c r="L98" s="139"/>
      <c r="M98" s="14" t="s">
        <v>190</v>
      </c>
      <c r="N98" s="153">
        <v>915</v>
      </c>
      <c r="O98" s="18">
        <f t="shared" si="0"/>
        <v>1518.8999999999999</v>
      </c>
      <c r="P98" s="19"/>
      <c r="Q98" s="20"/>
      <c r="R98" s="21"/>
      <c r="S98" s="33"/>
      <c r="T98" s="33"/>
      <c r="U98" s="33"/>
      <c r="V98" s="146"/>
      <c r="W98" s="211"/>
    </row>
    <row r="99" spans="1:23" ht="16.95" hidden="1" customHeight="1" x14ac:dyDescent="0.2">
      <c r="A99" s="55"/>
      <c r="B99" s="20"/>
      <c r="C99" s="20"/>
      <c r="D99" s="15"/>
      <c r="E99" s="14"/>
      <c r="F99" s="15"/>
      <c r="G99" s="20" t="s">
        <v>32</v>
      </c>
      <c r="H99" s="16" t="s">
        <v>112</v>
      </c>
      <c r="I99" s="17">
        <f t="shared" si="1"/>
        <v>0.34166666666666662</v>
      </c>
      <c r="J99" s="14">
        <v>6</v>
      </c>
      <c r="K99" s="20">
        <v>2.0499999999999998</v>
      </c>
      <c r="L99" s="139"/>
      <c r="M99" s="14" t="s">
        <v>187</v>
      </c>
      <c r="N99" s="153">
        <v>775</v>
      </c>
      <c r="O99" s="18">
        <f t="shared" si="0"/>
        <v>1588.7499999999998</v>
      </c>
      <c r="P99" s="19"/>
      <c r="Q99" s="20"/>
      <c r="R99" s="21"/>
      <c r="S99" s="33"/>
      <c r="T99" s="33"/>
      <c r="U99" s="33"/>
      <c r="V99" s="146"/>
      <c r="W99" s="211"/>
    </row>
    <row r="100" spans="1:23" ht="16.95" hidden="1" customHeight="1" x14ac:dyDescent="0.2">
      <c r="A100" s="55"/>
      <c r="B100" s="20"/>
      <c r="C100" s="20"/>
      <c r="D100" s="15"/>
      <c r="E100" s="14"/>
      <c r="F100" s="15"/>
      <c r="G100" s="20" t="s">
        <v>32</v>
      </c>
      <c r="H100" s="16" t="s">
        <v>69</v>
      </c>
      <c r="I100" s="17">
        <f t="shared" si="1"/>
        <v>0.26750000000000002</v>
      </c>
      <c r="J100" s="14">
        <v>4</v>
      </c>
      <c r="K100" s="20">
        <v>1.07</v>
      </c>
      <c r="L100" s="139"/>
      <c r="M100" s="14" t="s">
        <v>187</v>
      </c>
      <c r="N100" s="153">
        <v>750</v>
      </c>
      <c r="O100" s="18">
        <f t="shared" si="0"/>
        <v>802.5</v>
      </c>
      <c r="P100" s="19"/>
      <c r="Q100" s="20"/>
      <c r="R100" s="21"/>
      <c r="S100" s="33"/>
      <c r="T100" s="33"/>
      <c r="U100" s="33"/>
      <c r="V100" s="146"/>
      <c r="W100" s="211"/>
    </row>
    <row r="101" spans="1:23" ht="16.95" hidden="1" customHeight="1" x14ac:dyDescent="0.2">
      <c r="A101" s="56"/>
      <c r="B101" s="35"/>
      <c r="C101" s="35"/>
      <c r="D101" s="57" t="s">
        <v>157</v>
      </c>
      <c r="E101" s="39"/>
      <c r="F101" s="36"/>
      <c r="G101" s="35" t="s">
        <v>22</v>
      </c>
      <c r="H101" s="37" t="s">
        <v>78</v>
      </c>
      <c r="I101" s="38">
        <f t="shared" si="1"/>
        <v>0.19107142857142856</v>
      </c>
      <c r="J101" s="39">
        <v>28</v>
      </c>
      <c r="K101" s="35">
        <v>5.35</v>
      </c>
      <c r="L101" s="136"/>
      <c r="M101" s="39" t="s">
        <v>191</v>
      </c>
      <c r="N101" s="154">
        <v>575</v>
      </c>
      <c r="O101" s="40">
        <f t="shared" si="0"/>
        <v>3076.25</v>
      </c>
      <c r="P101" s="41">
        <v>103.5</v>
      </c>
      <c r="Q101" s="35">
        <v>23.95</v>
      </c>
      <c r="R101" s="58">
        <v>20.722000000000001</v>
      </c>
      <c r="S101" s="40">
        <f>R101*P101</f>
        <v>2144.7270000000003</v>
      </c>
      <c r="T101" s="43">
        <v>500</v>
      </c>
      <c r="U101" s="43">
        <f>19*16.14</f>
        <v>306.66000000000003</v>
      </c>
      <c r="V101" s="150">
        <f>Table13[[#This Row],[Cert Exp]]+Table13[[#This Row],[Labour]]+Table13[[#This Row],[Gold Total]]+O94+O95+O96+O97+O98+O99+O100+Table13[[#This Row],[Diam Total]]</f>
        <v>14981.537</v>
      </c>
      <c r="W101" s="211"/>
    </row>
    <row r="102" spans="1:23" ht="16.95" hidden="1" customHeight="1" x14ac:dyDescent="0.2">
      <c r="A102" s="117"/>
      <c r="B102" s="90"/>
      <c r="C102" s="90"/>
      <c r="D102" s="83"/>
      <c r="E102" s="84"/>
      <c r="F102" s="83"/>
      <c r="G102" s="90"/>
      <c r="H102" s="118"/>
      <c r="I102" s="90"/>
      <c r="J102" s="84"/>
      <c r="K102" s="90"/>
      <c r="L102" s="140"/>
      <c r="M102" s="84"/>
      <c r="N102" s="156"/>
      <c r="O102" s="124"/>
      <c r="P102" s="94"/>
      <c r="Q102" s="90"/>
      <c r="R102" s="119"/>
      <c r="S102" s="124"/>
      <c r="T102" s="124"/>
      <c r="U102" s="124"/>
      <c r="V102" s="147"/>
      <c r="W102" s="211"/>
    </row>
    <row r="103" spans="1:23" ht="16.95" hidden="1" customHeight="1" x14ac:dyDescent="0.2">
      <c r="A103" s="54">
        <v>27</v>
      </c>
      <c r="B103" s="12" t="s">
        <v>192</v>
      </c>
      <c r="C103" s="12"/>
      <c r="D103" s="5" t="s">
        <v>148</v>
      </c>
      <c r="E103" s="122" t="s">
        <v>14</v>
      </c>
      <c r="F103" s="5" t="s">
        <v>158</v>
      </c>
      <c r="G103" s="12" t="s">
        <v>22</v>
      </c>
      <c r="H103" s="8" t="s">
        <v>159</v>
      </c>
      <c r="I103" s="9">
        <f t="shared" si="1"/>
        <v>0.60399999999999998</v>
      </c>
      <c r="J103" s="7">
        <v>5</v>
      </c>
      <c r="K103" s="12">
        <v>3.02</v>
      </c>
      <c r="L103" s="137" t="s">
        <v>24</v>
      </c>
      <c r="M103" s="7" t="s">
        <v>177</v>
      </c>
      <c r="N103" s="152">
        <v>775</v>
      </c>
      <c r="O103" s="10">
        <f t="shared" si="0"/>
        <v>2340.5</v>
      </c>
      <c r="P103" s="11"/>
      <c r="Q103" s="12"/>
      <c r="R103" s="13"/>
      <c r="S103" s="123"/>
      <c r="T103" s="123"/>
      <c r="U103" s="123"/>
      <c r="V103" s="145"/>
      <c r="W103" s="211"/>
    </row>
    <row r="104" spans="1:23" ht="16.95" hidden="1" customHeight="1" x14ac:dyDescent="0.2">
      <c r="A104" s="55"/>
      <c r="B104" s="20"/>
      <c r="C104" s="20"/>
      <c r="D104" s="15"/>
      <c r="E104" s="14"/>
      <c r="F104" s="15"/>
      <c r="G104" s="20" t="s">
        <v>22</v>
      </c>
      <c r="H104" s="16" t="s">
        <v>160</v>
      </c>
      <c r="I104" s="17">
        <f t="shared" si="1"/>
        <v>0.5178571428571429</v>
      </c>
      <c r="J104" s="14">
        <v>14</v>
      </c>
      <c r="K104" s="20">
        <v>7.25</v>
      </c>
      <c r="L104" s="139"/>
      <c r="M104" s="14" t="s">
        <v>177</v>
      </c>
      <c r="N104" s="153">
        <v>775</v>
      </c>
      <c r="O104" s="18">
        <f t="shared" si="0"/>
        <v>5618.75</v>
      </c>
      <c r="P104" s="19"/>
      <c r="Q104" s="20"/>
      <c r="R104" s="21"/>
      <c r="S104" s="33"/>
      <c r="T104" s="33"/>
      <c r="U104" s="33"/>
      <c r="V104" s="146"/>
      <c r="W104" s="211"/>
    </row>
    <row r="105" spans="1:23" ht="16.95" hidden="1" customHeight="1" x14ac:dyDescent="0.2">
      <c r="A105" s="55"/>
      <c r="B105" s="20"/>
      <c r="C105" s="20"/>
      <c r="D105" s="15"/>
      <c r="E105" s="14"/>
      <c r="F105" s="15"/>
      <c r="G105" s="20" t="s">
        <v>161</v>
      </c>
      <c r="H105" s="16" t="s">
        <v>69</v>
      </c>
      <c r="I105" s="17">
        <f t="shared" si="1"/>
        <v>0.254</v>
      </c>
      <c r="J105" s="14">
        <v>20</v>
      </c>
      <c r="K105" s="20">
        <v>5.08</v>
      </c>
      <c r="L105" s="139" t="s">
        <v>20</v>
      </c>
      <c r="M105" s="14" t="s">
        <v>177</v>
      </c>
      <c r="N105" s="153">
        <v>725</v>
      </c>
      <c r="O105" s="18">
        <f t="shared" si="0"/>
        <v>3683</v>
      </c>
      <c r="P105" s="19"/>
      <c r="Q105" s="20"/>
      <c r="R105" s="21"/>
      <c r="S105" s="33"/>
      <c r="T105" s="33"/>
      <c r="U105" s="33"/>
      <c r="V105" s="146"/>
      <c r="W105" s="211"/>
    </row>
    <row r="106" spans="1:23" ht="16.95" hidden="1" customHeight="1" x14ac:dyDescent="0.2">
      <c r="A106" s="55"/>
      <c r="B106" s="20"/>
      <c r="C106" s="20"/>
      <c r="D106" s="15"/>
      <c r="E106" s="14"/>
      <c r="F106" s="15"/>
      <c r="G106" s="20" t="s">
        <v>32</v>
      </c>
      <c r="H106" s="16" t="s">
        <v>69</v>
      </c>
      <c r="I106" s="17">
        <f t="shared" si="1"/>
        <v>0.23499999999999999</v>
      </c>
      <c r="J106" s="14">
        <v>8</v>
      </c>
      <c r="K106" s="20">
        <v>1.88</v>
      </c>
      <c r="L106" s="139"/>
      <c r="M106" s="14" t="s">
        <v>187</v>
      </c>
      <c r="N106" s="153">
        <v>725</v>
      </c>
      <c r="O106" s="18">
        <f t="shared" si="0"/>
        <v>1363</v>
      </c>
      <c r="P106" s="19"/>
      <c r="Q106" s="20"/>
      <c r="R106" s="21"/>
      <c r="S106" s="33"/>
      <c r="T106" s="33"/>
      <c r="U106" s="33"/>
      <c r="V106" s="146"/>
      <c r="W106" s="211"/>
    </row>
    <row r="107" spans="1:23" ht="16.95" hidden="1" customHeight="1" x14ac:dyDescent="0.2">
      <c r="A107" s="55"/>
      <c r="B107" s="20"/>
      <c r="C107" s="20"/>
      <c r="D107" s="15"/>
      <c r="E107" s="14"/>
      <c r="F107" s="15"/>
      <c r="G107" s="20" t="s">
        <v>32</v>
      </c>
      <c r="H107" s="16" t="s">
        <v>78</v>
      </c>
      <c r="I107" s="17">
        <f t="shared" si="1"/>
        <v>0.18666666666666668</v>
      </c>
      <c r="J107" s="14">
        <v>3</v>
      </c>
      <c r="K107" s="20">
        <v>0.56000000000000005</v>
      </c>
      <c r="L107" s="139"/>
      <c r="M107" s="14" t="s">
        <v>181</v>
      </c>
      <c r="N107" s="153">
        <v>675</v>
      </c>
      <c r="O107" s="18">
        <f t="shared" si="0"/>
        <v>378.00000000000006</v>
      </c>
      <c r="P107" s="19"/>
      <c r="Q107" s="20"/>
      <c r="R107" s="21"/>
      <c r="S107" s="33"/>
      <c r="T107" s="33"/>
      <c r="U107" s="33"/>
      <c r="V107" s="146"/>
      <c r="W107" s="211"/>
    </row>
    <row r="108" spans="1:23" ht="16.95" hidden="1" customHeight="1" x14ac:dyDescent="0.2">
      <c r="A108" s="55"/>
      <c r="B108" s="20"/>
      <c r="C108" s="20"/>
      <c r="D108" s="15"/>
      <c r="E108" s="14"/>
      <c r="F108" s="15"/>
      <c r="G108" s="20" t="s">
        <v>32</v>
      </c>
      <c r="H108" s="16" t="s">
        <v>75</v>
      </c>
      <c r="I108" s="17">
        <f t="shared" si="1"/>
        <v>0.14444444444444446</v>
      </c>
      <c r="J108" s="14">
        <v>9</v>
      </c>
      <c r="K108" s="20">
        <v>1.3</v>
      </c>
      <c r="L108" s="139"/>
      <c r="M108" s="14" t="s">
        <v>174</v>
      </c>
      <c r="N108" s="153">
        <v>625</v>
      </c>
      <c r="O108" s="18">
        <f t="shared" si="0"/>
        <v>812.5</v>
      </c>
      <c r="P108" s="19"/>
      <c r="Q108" s="20"/>
      <c r="R108" s="21"/>
      <c r="S108" s="33"/>
      <c r="T108" s="33"/>
      <c r="U108" s="33"/>
      <c r="V108" s="146"/>
      <c r="W108" s="211"/>
    </row>
    <row r="109" spans="1:23" ht="16.95" hidden="1" customHeight="1" x14ac:dyDescent="0.2">
      <c r="A109" s="55"/>
      <c r="B109" s="20"/>
      <c r="C109" s="20"/>
      <c r="D109" s="15"/>
      <c r="E109" s="14"/>
      <c r="F109" s="15"/>
      <c r="G109" s="20" t="s">
        <v>109</v>
      </c>
      <c r="H109" s="16" t="s">
        <v>78</v>
      </c>
      <c r="I109" s="17">
        <f t="shared" si="1"/>
        <v>0.18555555555555556</v>
      </c>
      <c r="J109" s="14">
        <v>9</v>
      </c>
      <c r="K109" s="20">
        <v>1.67</v>
      </c>
      <c r="L109" s="139"/>
      <c r="M109" s="14" t="s">
        <v>183</v>
      </c>
      <c r="N109" s="153">
        <v>675</v>
      </c>
      <c r="O109" s="18">
        <f t="shared" si="0"/>
        <v>1127.25</v>
      </c>
      <c r="P109" s="19"/>
      <c r="Q109" s="20"/>
      <c r="R109" s="21"/>
      <c r="S109" s="33"/>
      <c r="T109" s="33"/>
      <c r="U109" s="33"/>
      <c r="V109" s="146"/>
      <c r="W109" s="211"/>
    </row>
    <row r="110" spans="1:23" ht="16.95" hidden="1" customHeight="1" x14ac:dyDescent="0.2">
      <c r="A110" s="56"/>
      <c r="B110" s="35"/>
      <c r="C110" s="35"/>
      <c r="D110" s="57" t="s">
        <v>162</v>
      </c>
      <c r="E110" s="39"/>
      <c r="F110" s="36"/>
      <c r="G110" s="35" t="s">
        <v>109</v>
      </c>
      <c r="H110" s="37" t="s">
        <v>75</v>
      </c>
      <c r="I110" s="38">
        <f t="shared" si="1"/>
        <v>0.152</v>
      </c>
      <c r="J110" s="39">
        <v>10</v>
      </c>
      <c r="K110" s="35">
        <v>1.52</v>
      </c>
      <c r="L110" s="136"/>
      <c r="M110" s="39" t="s">
        <v>179</v>
      </c>
      <c r="N110" s="154">
        <v>625</v>
      </c>
      <c r="O110" s="40">
        <f t="shared" si="0"/>
        <v>950</v>
      </c>
      <c r="P110" s="41">
        <v>103.5</v>
      </c>
      <c r="Q110" s="35">
        <v>25.45</v>
      </c>
      <c r="R110" s="58">
        <v>20.994</v>
      </c>
      <c r="S110" s="40">
        <f>R110*P110</f>
        <v>2172.8789999999999</v>
      </c>
      <c r="T110" s="43">
        <v>500</v>
      </c>
      <c r="U110" s="43">
        <f>19*22.28</f>
        <v>423.32000000000005</v>
      </c>
      <c r="V110" s="150">
        <f>Table13[[#This Row],[Cert Exp]]+Table13[[#This Row],[Labour]]+Table13[[#This Row],[Gold Total]]+O103+O104+O105+O106+O107+O108+O109+Table13[[#This Row],[Diam Total]]</f>
        <v>19369.199000000001</v>
      </c>
      <c r="W110" s="211"/>
    </row>
    <row r="111" spans="1:23" ht="16.95" hidden="1" customHeight="1" x14ac:dyDescent="0.2">
      <c r="A111" s="117"/>
      <c r="B111" s="90"/>
      <c r="C111" s="90"/>
      <c r="D111" s="83"/>
      <c r="E111" s="84"/>
      <c r="F111" s="83"/>
      <c r="G111" s="90"/>
      <c r="H111" s="118"/>
      <c r="I111" s="90"/>
      <c r="J111" s="84"/>
      <c r="K111" s="90"/>
      <c r="L111" s="140"/>
      <c r="M111" s="84"/>
      <c r="N111" s="156"/>
      <c r="O111" s="124"/>
      <c r="P111" s="94"/>
      <c r="Q111" s="90"/>
      <c r="R111" s="119"/>
      <c r="S111" s="124"/>
      <c r="T111" s="124"/>
      <c r="U111" s="124"/>
      <c r="V111" s="147"/>
      <c r="W111" s="211"/>
    </row>
    <row r="112" spans="1:23" ht="16.95" hidden="1" customHeight="1" x14ac:dyDescent="0.2">
      <c r="A112" s="54">
        <v>28</v>
      </c>
      <c r="B112" s="12" t="s">
        <v>192</v>
      </c>
      <c r="C112" s="12"/>
      <c r="D112" s="5" t="s">
        <v>163</v>
      </c>
      <c r="E112" s="125" t="s">
        <v>14</v>
      </c>
      <c r="F112" s="196">
        <v>250000019054</v>
      </c>
      <c r="G112" s="12" t="s">
        <v>109</v>
      </c>
      <c r="H112" s="8" t="s">
        <v>154</v>
      </c>
      <c r="I112" s="9">
        <f t="shared" si="1"/>
        <v>0.71</v>
      </c>
      <c r="J112" s="7">
        <v>1</v>
      </c>
      <c r="K112" s="12">
        <v>0.71</v>
      </c>
      <c r="L112" s="137" t="s">
        <v>164</v>
      </c>
      <c r="M112" s="7" t="s">
        <v>188</v>
      </c>
      <c r="N112" s="152">
        <v>1025</v>
      </c>
      <c r="O112" s="10">
        <f t="shared" si="0"/>
        <v>727.75</v>
      </c>
      <c r="P112" s="11"/>
      <c r="Q112" s="12"/>
      <c r="R112" s="13"/>
      <c r="S112" s="123"/>
      <c r="T112" s="123"/>
      <c r="U112" s="123"/>
      <c r="V112" s="145"/>
      <c r="W112" s="211"/>
    </row>
    <row r="113" spans="1:23" ht="16.95" hidden="1" customHeight="1" x14ac:dyDescent="0.2">
      <c r="A113" s="55"/>
      <c r="B113" s="20"/>
      <c r="C113" s="20"/>
      <c r="D113" s="22" t="s">
        <v>165</v>
      </c>
      <c r="E113" s="34" t="s">
        <v>14</v>
      </c>
      <c r="F113" s="197">
        <v>250000019053</v>
      </c>
      <c r="G113" s="20" t="s">
        <v>109</v>
      </c>
      <c r="H113" s="16" t="s">
        <v>154</v>
      </c>
      <c r="I113" s="17">
        <f t="shared" si="1"/>
        <v>0.71</v>
      </c>
      <c r="J113" s="14">
        <v>1</v>
      </c>
      <c r="K113" s="20">
        <v>0.71</v>
      </c>
      <c r="L113" s="139" t="s">
        <v>166</v>
      </c>
      <c r="M113" s="14" t="s">
        <v>188</v>
      </c>
      <c r="N113" s="153">
        <v>1025</v>
      </c>
      <c r="O113" s="18">
        <f t="shared" si="0"/>
        <v>727.75</v>
      </c>
      <c r="P113" s="19"/>
      <c r="Q113" s="20"/>
      <c r="R113" s="21"/>
      <c r="S113" s="33"/>
      <c r="T113" s="33"/>
      <c r="U113" s="33"/>
      <c r="V113" s="146"/>
      <c r="W113" s="211"/>
    </row>
    <row r="114" spans="1:23" ht="16.95" hidden="1" customHeight="1" x14ac:dyDescent="0.2">
      <c r="A114" s="55"/>
      <c r="B114" s="20"/>
      <c r="C114" s="20"/>
      <c r="D114" s="15" t="s">
        <v>167</v>
      </c>
      <c r="E114" s="24" t="s">
        <v>14</v>
      </c>
      <c r="F114" s="15" t="s">
        <v>168</v>
      </c>
      <c r="G114" s="20" t="s">
        <v>109</v>
      </c>
      <c r="H114" s="16" t="s">
        <v>69</v>
      </c>
      <c r="I114" s="17">
        <f t="shared" si="1"/>
        <v>0.24083333333333334</v>
      </c>
      <c r="J114" s="14">
        <v>12</v>
      </c>
      <c r="K114" s="20">
        <v>2.89</v>
      </c>
      <c r="L114" s="139" t="s">
        <v>56</v>
      </c>
      <c r="M114" s="14" t="s">
        <v>182</v>
      </c>
      <c r="N114" s="153">
        <v>725</v>
      </c>
      <c r="O114" s="18">
        <f t="shared" si="0"/>
        <v>2095.25</v>
      </c>
      <c r="P114" s="19"/>
      <c r="Q114" s="20"/>
      <c r="R114" s="21"/>
      <c r="S114" s="33"/>
      <c r="T114" s="33"/>
      <c r="U114" s="33"/>
      <c r="V114" s="146"/>
      <c r="W114" s="211"/>
    </row>
    <row r="115" spans="1:23" ht="16.95" hidden="1" customHeight="1" x14ac:dyDescent="0.2">
      <c r="A115" s="55"/>
      <c r="B115" s="20"/>
      <c r="C115" s="20"/>
      <c r="D115" s="15"/>
      <c r="E115" s="14"/>
      <c r="F115" s="15"/>
      <c r="G115" s="20" t="s">
        <v>109</v>
      </c>
      <c r="H115" s="16" t="s">
        <v>78</v>
      </c>
      <c r="I115" s="17">
        <f t="shared" si="1"/>
        <v>0.18735294117647058</v>
      </c>
      <c r="J115" s="14">
        <v>34</v>
      </c>
      <c r="K115" s="20">
        <v>6.37</v>
      </c>
      <c r="L115" s="139"/>
      <c r="M115" s="14" t="s">
        <v>183</v>
      </c>
      <c r="N115" s="153">
        <v>625</v>
      </c>
      <c r="O115" s="18">
        <f t="shared" si="0"/>
        <v>3981.25</v>
      </c>
      <c r="P115" s="19"/>
      <c r="Q115" s="20"/>
      <c r="R115" s="21"/>
      <c r="S115" s="33"/>
      <c r="T115" s="33"/>
      <c r="U115" s="33"/>
      <c r="V115" s="146"/>
      <c r="W115" s="211"/>
    </row>
    <row r="116" spans="1:23" ht="16.95" hidden="1" customHeight="1" x14ac:dyDescent="0.2">
      <c r="A116" s="55"/>
      <c r="B116" s="20"/>
      <c r="C116" s="20"/>
      <c r="D116" s="15"/>
      <c r="E116" s="14"/>
      <c r="F116" s="15"/>
      <c r="G116" s="20" t="s">
        <v>109</v>
      </c>
      <c r="H116" s="16" t="s">
        <v>75</v>
      </c>
      <c r="I116" s="17">
        <f t="shared" si="1"/>
        <v>0.13833333333333334</v>
      </c>
      <c r="J116" s="14">
        <v>42</v>
      </c>
      <c r="K116" s="20">
        <v>5.81</v>
      </c>
      <c r="L116" s="139"/>
      <c r="M116" s="14" t="s">
        <v>174</v>
      </c>
      <c r="N116" s="153">
        <v>575</v>
      </c>
      <c r="O116" s="18">
        <f t="shared" si="0"/>
        <v>3340.75</v>
      </c>
      <c r="P116" s="19"/>
      <c r="Q116" s="20"/>
      <c r="R116" s="21"/>
      <c r="S116" s="33"/>
      <c r="T116" s="33"/>
      <c r="U116" s="33"/>
      <c r="V116" s="146"/>
      <c r="W116" s="211"/>
    </row>
    <row r="117" spans="1:23" ht="16.95" hidden="1" customHeight="1" x14ac:dyDescent="0.2">
      <c r="A117" s="56"/>
      <c r="B117" s="35"/>
      <c r="C117" s="35"/>
      <c r="D117" s="36"/>
      <c r="E117" s="39"/>
      <c r="F117" s="36"/>
      <c r="G117" s="35" t="s">
        <v>109</v>
      </c>
      <c r="H117" s="37" t="s">
        <v>19</v>
      </c>
      <c r="I117" s="38">
        <f t="shared" si="1"/>
        <v>8.8627450980392153E-2</v>
      </c>
      <c r="J117" s="39">
        <v>102</v>
      </c>
      <c r="K117" s="35">
        <v>9.0399999999999991</v>
      </c>
      <c r="L117" s="136"/>
      <c r="M117" s="39" t="s">
        <v>176</v>
      </c>
      <c r="N117" s="154">
        <v>525</v>
      </c>
      <c r="O117" s="40">
        <f t="shared" si="0"/>
        <v>4746</v>
      </c>
      <c r="P117" s="41">
        <v>103.5</v>
      </c>
      <c r="Q117" s="35">
        <v>31.26</v>
      </c>
      <c r="R117" s="42">
        <v>26.154</v>
      </c>
      <c r="S117" s="40">
        <f>R117*P117</f>
        <v>2706.9389999999999</v>
      </c>
      <c r="T117" s="43">
        <v>650</v>
      </c>
      <c r="U117" s="43">
        <f>19*25.53</f>
        <v>485.07000000000005</v>
      </c>
      <c r="V117" s="150">
        <f>Table13[[#This Row],[Cert Exp]]+Table13[[#This Row],[Labour]]+Table13[[#This Row],[Gold Total]]+O112+O113+O114+O115+O116+Table13[[#This Row],[Diam Total]]</f>
        <v>19460.758999999998</v>
      </c>
      <c r="W117" s="211"/>
    </row>
    <row r="118" spans="1:23" ht="16.95" hidden="1" customHeight="1" x14ac:dyDescent="0.2">
      <c r="A118" s="165"/>
      <c r="B118" s="166"/>
      <c r="C118" s="166"/>
      <c r="D118" s="167"/>
      <c r="E118" s="168"/>
      <c r="F118" s="167"/>
      <c r="G118" s="166"/>
      <c r="H118" s="169"/>
      <c r="I118" s="170"/>
      <c r="J118" s="168"/>
      <c r="K118" s="171"/>
      <c r="L118" s="172"/>
      <c r="M118" s="173"/>
      <c r="N118" s="174"/>
      <c r="O118" s="175"/>
      <c r="P118" s="176"/>
      <c r="Q118" s="166"/>
      <c r="R118" s="178"/>
      <c r="S118" s="177"/>
      <c r="T118" s="177"/>
      <c r="U118" s="177"/>
      <c r="V118" s="179"/>
      <c r="W118" s="211"/>
    </row>
    <row r="119" spans="1:23" ht="16.95" customHeight="1" x14ac:dyDescent="0.2">
      <c r="A119" s="54">
        <v>29</v>
      </c>
      <c r="B119" s="12" t="s">
        <v>192</v>
      </c>
      <c r="C119" s="12"/>
      <c r="D119" s="5" t="s">
        <v>193</v>
      </c>
      <c r="E119" s="6" t="s">
        <v>14</v>
      </c>
      <c r="F119" s="5" t="s">
        <v>194</v>
      </c>
      <c r="G119" s="7" t="s">
        <v>22</v>
      </c>
      <c r="H119" s="8" t="s">
        <v>112</v>
      </c>
      <c r="I119" s="9">
        <f t="shared" si="1"/>
        <v>0.31690909090909092</v>
      </c>
      <c r="J119" s="7">
        <v>55</v>
      </c>
      <c r="K119" s="12">
        <v>17.43</v>
      </c>
      <c r="L119" s="137" t="s">
        <v>195</v>
      </c>
      <c r="M119" s="7" t="s">
        <v>174</v>
      </c>
      <c r="N119" s="152">
        <v>600</v>
      </c>
      <c r="O119" s="11">
        <f>Table13[[#This Row],[Per/ct2]]*Table13[[#This Row],[Diam Cts]]</f>
        <v>10458</v>
      </c>
      <c r="P119" s="11">
        <v>103.5</v>
      </c>
      <c r="Q119" s="12">
        <v>27.95</v>
      </c>
      <c r="R119" s="80">
        <v>24.463999999999999</v>
      </c>
      <c r="S119" s="11">
        <f>Table13[[#This Row],[Net Gm]]*Table13[[#This Row],[Gold/gm]]</f>
        <v>2532.0239999999999</v>
      </c>
      <c r="T119" s="11">
        <v>500</v>
      </c>
      <c r="U119" s="11">
        <f>19*17.43</f>
        <v>331.17</v>
      </c>
      <c r="V119" s="207">
        <f>Table13[[#This Row],[Cert Exp]]+Table13[[#This Row],[Labour]]+Table13[[#This Row],[Gold Total]]+Table13[[#This Row],[Diam Total]]</f>
        <v>13821.194</v>
      </c>
      <c r="W119" s="212" t="s">
        <v>220</v>
      </c>
    </row>
    <row r="120" spans="1:23" ht="16.95" customHeight="1" x14ac:dyDescent="0.2">
      <c r="A120" s="56"/>
      <c r="B120" s="35"/>
      <c r="C120" s="35"/>
      <c r="D120" s="57" t="s">
        <v>196</v>
      </c>
      <c r="E120" s="36"/>
      <c r="F120" s="36"/>
      <c r="G120" s="39"/>
      <c r="H120" s="37"/>
      <c r="I120" s="38"/>
      <c r="J120" s="39"/>
      <c r="K120" s="35"/>
      <c r="L120" s="136"/>
      <c r="M120" s="39"/>
      <c r="N120" s="154"/>
      <c r="O120" s="41"/>
      <c r="P120" s="41"/>
      <c r="Q120" s="35"/>
      <c r="R120" s="58"/>
      <c r="S120" s="41"/>
      <c r="T120" s="41"/>
      <c r="U120" s="41"/>
      <c r="V120" s="190"/>
      <c r="W120" s="212" t="s">
        <v>220</v>
      </c>
    </row>
    <row r="121" spans="1:23" ht="16.95" hidden="1" customHeight="1" x14ac:dyDescent="0.2">
      <c r="A121" s="182"/>
      <c r="B121" s="183"/>
      <c r="C121" s="183"/>
      <c r="D121" s="184"/>
      <c r="E121" s="181"/>
      <c r="F121" s="184"/>
      <c r="G121" s="182"/>
      <c r="H121" s="185"/>
      <c r="I121" s="186"/>
      <c r="J121" s="182"/>
      <c r="K121" s="183"/>
      <c r="L121" s="194"/>
      <c r="M121" s="182"/>
      <c r="N121" s="191"/>
      <c r="O121" s="1"/>
      <c r="P121" s="1"/>
      <c r="Q121" s="183"/>
      <c r="R121" s="187"/>
      <c r="S121" s="1"/>
      <c r="T121" s="1"/>
      <c r="U121" s="1"/>
      <c r="V121" s="1"/>
      <c r="W121" s="211"/>
    </row>
    <row r="122" spans="1:23" ht="16.95" hidden="1" customHeight="1" x14ac:dyDescent="0.2">
      <c r="A122" s="54">
        <v>30</v>
      </c>
      <c r="B122" s="12" t="s">
        <v>192</v>
      </c>
      <c r="C122" s="12"/>
      <c r="D122" s="5" t="s">
        <v>197</v>
      </c>
      <c r="E122" s="122" t="s">
        <v>14</v>
      </c>
      <c r="F122" s="5" t="s">
        <v>198</v>
      </c>
      <c r="G122" s="7" t="s">
        <v>22</v>
      </c>
      <c r="H122" s="8" t="s">
        <v>17</v>
      </c>
      <c r="I122" s="9">
        <f t="shared" ref="I122:I144" si="2">K122/J122</f>
        <v>1.01</v>
      </c>
      <c r="J122" s="7">
        <v>1</v>
      </c>
      <c r="K122" s="12">
        <v>1.01</v>
      </c>
      <c r="L122" s="137" t="s">
        <v>199</v>
      </c>
      <c r="M122" s="7" t="s">
        <v>172</v>
      </c>
      <c r="N122" s="152">
        <v>1425</v>
      </c>
      <c r="O122" s="11">
        <f>Table13[[#This Row],[Per/ct2]]*Table13[[#This Row],[Diam Cts]]</f>
        <v>1439.25</v>
      </c>
      <c r="P122" s="11"/>
      <c r="Q122" s="12"/>
      <c r="R122" s="13"/>
      <c r="S122" s="11"/>
      <c r="T122" s="11"/>
      <c r="U122" s="11"/>
      <c r="V122" s="188"/>
      <c r="W122" s="211"/>
    </row>
    <row r="123" spans="1:23" ht="16.95" hidden="1" customHeight="1" x14ac:dyDescent="0.2">
      <c r="A123" s="55"/>
      <c r="B123" s="20"/>
      <c r="C123" s="20"/>
      <c r="D123" s="22" t="s">
        <v>200</v>
      </c>
      <c r="E123" s="15"/>
      <c r="F123" s="15"/>
      <c r="G123" s="14" t="s">
        <v>22</v>
      </c>
      <c r="H123" s="16" t="s">
        <v>160</v>
      </c>
      <c r="I123" s="17">
        <f t="shared" si="2"/>
        <v>0.5</v>
      </c>
      <c r="J123" s="14">
        <v>2</v>
      </c>
      <c r="K123" s="20">
        <v>1</v>
      </c>
      <c r="L123" s="139"/>
      <c r="M123" s="14" t="s">
        <v>187</v>
      </c>
      <c r="N123" s="153">
        <v>775</v>
      </c>
      <c r="O123" s="19">
        <f>Table13[[#This Row],[Per/ct2]]*Table13[[#This Row],[Diam Cts]]</f>
        <v>775</v>
      </c>
      <c r="P123" s="19"/>
      <c r="Q123" s="20"/>
      <c r="R123" s="21"/>
      <c r="S123" s="19"/>
      <c r="T123" s="19"/>
      <c r="U123" s="19"/>
      <c r="V123" s="189"/>
      <c r="W123" s="211"/>
    </row>
    <row r="124" spans="1:23" ht="16.95" hidden="1" customHeight="1" x14ac:dyDescent="0.2">
      <c r="A124" s="55"/>
      <c r="B124" s="20"/>
      <c r="C124" s="20"/>
      <c r="D124" s="15" t="s">
        <v>201</v>
      </c>
      <c r="E124" s="15"/>
      <c r="F124" s="15"/>
      <c r="G124" s="14" t="s">
        <v>22</v>
      </c>
      <c r="H124" s="16" t="s">
        <v>202</v>
      </c>
      <c r="I124" s="17">
        <f t="shared" si="2"/>
        <v>0.46500000000000002</v>
      </c>
      <c r="J124" s="14">
        <v>2</v>
      </c>
      <c r="K124" s="20">
        <v>0.93</v>
      </c>
      <c r="L124" s="139"/>
      <c r="M124" s="14" t="s">
        <v>177</v>
      </c>
      <c r="N124" s="153">
        <v>715</v>
      </c>
      <c r="O124" s="19">
        <f>Table13[[#This Row],[Per/ct2]]*Table13[[#This Row],[Diam Cts]]</f>
        <v>664.95</v>
      </c>
      <c r="P124" s="19"/>
      <c r="Q124" s="20"/>
      <c r="R124" s="21"/>
      <c r="S124" s="19"/>
      <c r="T124" s="19"/>
      <c r="U124" s="19"/>
      <c r="V124" s="189"/>
      <c r="W124" s="211"/>
    </row>
    <row r="125" spans="1:23" ht="16.95" hidden="1" customHeight="1" x14ac:dyDescent="0.2">
      <c r="A125" s="55"/>
      <c r="B125" s="20"/>
      <c r="C125" s="20"/>
      <c r="D125" s="15" t="s">
        <v>203</v>
      </c>
      <c r="E125" s="15"/>
      <c r="F125" s="15"/>
      <c r="G125" s="14" t="s">
        <v>22</v>
      </c>
      <c r="H125" s="16" t="s">
        <v>112</v>
      </c>
      <c r="I125" s="17">
        <f t="shared" si="2"/>
        <v>0.318</v>
      </c>
      <c r="J125" s="14">
        <v>10</v>
      </c>
      <c r="K125" s="20">
        <v>3.18</v>
      </c>
      <c r="L125" s="139"/>
      <c r="M125" s="14" t="s">
        <v>174</v>
      </c>
      <c r="N125" s="153">
        <v>625</v>
      </c>
      <c r="O125" s="19">
        <f>Table13[[#This Row],[Per/ct2]]*Table13[[#This Row],[Diam Cts]]</f>
        <v>1987.5</v>
      </c>
      <c r="P125" s="19"/>
      <c r="Q125" s="20"/>
      <c r="R125" s="21"/>
      <c r="S125" s="19"/>
      <c r="T125" s="19"/>
      <c r="U125" s="19"/>
      <c r="V125" s="189"/>
      <c r="W125" s="211"/>
    </row>
    <row r="126" spans="1:23" ht="16.95" hidden="1" customHeight="1" x14ac:dyDescent="0.2">
      <c r="A126" s="55"/>
      <c r="B126" s="20"/>
      <c r="C126" s="20"/>
      <c r="D126" s="15"/>
      <c r="E126" s="15"/>
      <c r="F126" s="15"/>
      <c r="G126" s="14" t="s">
        <v>22</v>
      </c>
      <c r="H126" s="16" t="s">
        <v>69</v>
      </c>
      <c r="I126" s="17">
        <f t="shared" si="2"/>
        <v>0.23666666666666666</v>
      </c>
      <c r="J126" s="14">
        <v>6</v>
      </c>
      <c r="K126" s="20">
        <v>1.42</v>
      </c>
      <c r="L126" s="139"/>
      <c r="M126" s="14" t="s">
        <v>174</v>
      </c>
      <c r="N126" s="153">
        <v>600</v>
      </c>
      <c r="O126" s="19">
        <f>Table13[[#This Row],[Per/ct2]]*Table13[[#This Row],[Diam Cts]]</f>
        <v>852</v>
      </c>
      <c r="P126" s="19"/>
      <c r="Q126" s="20"/>
      <c r="R126" s="21"/>
      <c r="S126" s="19"/>
      <c r="T126" s="19"/>
      <c r="U126" s="19"/>
      <c r="V126" s="189"/>
      <c r="W126" s="211"/>
    </row>
    <row r="127" spans="1:23" ht="16.95" hidden="1" customHeight="1" x14ac:dyDescent="0.2">
      <c r="A127" s="55"/>
      <c r="B127" s="20"/>
      <c r="C127" s="20"/>
      <c r="D127" s="15"/>
      <c r="E127" s="15"/>
      <c r="F127" s="15"/>
      <c r="G127" s="14" t="s">
        <v>22</v>
      </c>
      <c r="H127" s="16" t="s">
        <v>78</v>
      </c>
      <c r="I127" s="17">
        <f t="shared" si="2"/>
        <v>0.18</v>
      </c>
      <c r="J127" s="14">
        <v>4</v>
      </c>
      <c r="K127" s="20">
        <v>0.72</v>
      </c>
      <c r="L127" s="139"/>
      <c r="M127" s="14" t="s">
        <v>179</v>
      </c>
      <c r="N127" s="153">
        <v>550</v>
      </c>
      <c r="O127" s="19">
        <f>Table13[[#This Row],[Per/ct2]]*Table13[[#This Row],[Diam Cts]]</f>
        <v>396</v>
      </c>
      <c r="P127" s="19"/>
      <c r="Q127" s="20"/>
      <c r="R127" s="21"/>
      <c r="S127" s="19"/>
      <c r="T127" s="19"/>
      <c r="U127" s="19"/>
      <c r="V127" s="189"/>
      <c r="W127" s="211"/>
    </row>
    <row r="128" spans="1:23" ht="16.95" hidden="1" customHeight="1" x14ac:dyDescent="0.2">
      <c r="A128" s="55"/>
      <c r="B128" s="20"/>
      <c r="C128" s="20"/>
      <c r="D128" s="15"/>
      <c r="E128" s="15"/>
      <c r="F128" s="15"/>
      <c r="G128" s="14" t="s">
        <v>22</v>
      </c>
      <c r="H128" s="16" t="s">
        <v>204</v>
      </c>
      <c r="I128" s="17">
        <f t="shared" si="2"/>
        <v>0.125</v>
      </c>
      <c r="J128" s="14">
        <v>6</v>
      </c>
      <c r="K128" s="20">
        <v>0.75</v>
      </c>
      <c r="L128" s="139"/>
      <c r="M128" s="14" t="s">
        <v>176</v>
      </c>
      <c r="N128" s="153">
        <v>515</v>
      </c>
      <c r="O128" s="19">
        <f>Table13[[#This Row],[Per/ct2]]*Table13[[#This Row],[Diam Cts]]</f>
        <v>386.25</v>
      </c>
      <c r="P128" s="19"/>
      <c r="Q128" s="20"/>
      <c r="R128" s="21"/>
      <c r="S128" s="19"/>
      <c r="T128" s="19"/>
      <c r="U128" s="19"/>
      <c r="V128" s="189"/>
      <c r="W128" s="211"/>
    </row>
    <row r="129" spans="1:23" ht="16.95" hidden="1" customHeight="1" x14ac:dyDescent="0.2">
      <c r="A129" s="55"/>
      <c r="B129" s="20"/>
      <c r="C129" s="20"/>
      <c r="D129" s="15"/>
      <c r="E129" s="15"/>
      <c r="F129" s="15"/>
      <c r="G129" s="14" t="s">
        <v>22</v>
      </c>
      <c r="H129" s="16" t="s">
        <v>80</v>
      </c>
      <c r="I129" s="17">
        <f t="shared" si="2"/>
        <v>8.7499999999999994E-2</v>
      </c>
      <c r="J129" s="14">
        <v>4</v>
      </c>
      <c r="K129" s="20">
        <v>0.35</v>
      </c>
      <c r="L129" s="139"/>
      <c r="M129" s="14" t="s">
        <v>180</v>
      </c>
      <c r="N129" s="153">
        <v>475</v>
      </c>
      <c r="O129" s="19">
        <f>Table13[[#This Row],[Per/ct2]]*Table13[[#This Row],[Diam Cts]]</f>
        <v>166.25</v>
      </c>
      <c r="P129" s="19"/>
      <c r="Q129" s="20"/>
      <c r="R129" s="21"/>
      <c r="S129" s="19"/>
      <c r="T129" s="19"/>
      <c r="U129" s="19"/>
      <c r="V129" s="189"/>
      <c r="W129" s="211"/>
    </row>
    <row r="130" spans="1:23" ht="16.95" hidden="1" customHeight="1" x14ac:dyDescent="0.2">
      <c r="A130" s="55"/>
      <c r="B130" s="20"/>
      <c r="C130" s="20"/>
      <c r="D130" s="15"/>
      <c r="E130" s="15"/>
      <c r="F130" s="15"/>
      <c r="G130" s="14" t="s">
        <v>22</v>
      </c>
      <c r="H130" s="16" t="s">
        <v>205</v>
      </c>
      <c r="I130" s="17">
        <f t="shared" si="2"/>
        <v>4.2692307692307696E-2</v>
      </c>
      <c r="J130" s="14">
        <v>26</v>
      </c>
      <c r="K130" s="20">
        <v>1.1100000000000001</v>
      </c>
      <c r="L130" s="139"/>
      <c r="M130" s="14" t="s">
        <v>173</v>
      </c>
      <c r="N130" s="153">
        <v>350</v>
      </c>
      <c r="O130" s="19">
        <f>Table13[[#This Row],[Per/ct2]]*Table13[[#This Row],[Diam Cts]]</f>
        <v>388.50000000000006</v>
      </c>
      <c r="P130" s="19"/>
      <c r="Q130" s="20"/>
      <c r="R130" s="21"/>
      <c r="S130" s="19"/>
      <c r="T130" s="19"/>
      <c r="U130" s="19"/>
      <c r="V130" s="189"/>
      <c r="W130" s="211"/>
    </row>
    <row r="131" spans="1:23" ht="16.95" hidden="1" customHeight="1" x14ac:dyDescent="0.2">
      <c r="A131" s="56"/>
      <c r="B131" s="35"/>
      <c r="C131" s="35"/>
      <c r="D131" s="36"/>
      <c r="E131" s="36"/>
      <c r="F131" s="36"/>
      <c r="G131" s="39" t="s">
        <v>22</v>
      </c>
      <c r="H131" s="37" t="s">
        <v>206</v>
      </c>
      <c r="I131" s="38">
        <f t="shared" si="2"/>
        <v>2.6956521739130435E-2</v>
      </c>
      <c r="J131" s="39">
        <v>46</v>
      </c>
      <c r="K131" s="35">
        <v>1.24</v>
      </c>
      <c r="L131" s="136"/>
      <c r="M131" s="39" t="s">
        <v>171</v>
      </c>
      <c r="N131" s="154">
        <v>330</v>
      </c>
      <c r="O131" s="41">
        <f>Table13[[#This Row],[Per/ct2]]*Table13[[#This Row],[Diam Cts]]</f>
        <v>409.2</v>
      </c>
      <c r="P131" s="41">
        <v>103.5</v>
      </c>
      <c r="Q131" s="35">
        <v>23.52</v>
      </c>
      <c r="R131" s="42">
        <v>21.178000000000001</v>
      </c>
      <c r="S131" s="41">
        <f>Table13[[#This Row],[Net Gm]]*Table13[[#This Row],[Gold/gm]]</f>
        <v>2191.9230000000002</v>
      </c>
      <c r="T131" s="41">
        <v>475</v>
      </c>
      <c r="U131" s="41">
        <v>222.49</v>
      </c>
      <c r="V131" s="193">
        <f>Table13[[#This Row],[Cert Exp]]+Table13[[#This Row],[Labour]]+Table13[[#This Row],[Gold Total]]+O122+O123+O124+O125+O126+O127+O128+O129+O130+Table13[[#This Row],[Diam Total]]</f>
        <v>10354.313000000002</v>
      </c>
      <c r="W131" s="211"/>
    </row>
    <row r="132" spans="1:23" ht="16.95" hidden="1" customHeight="1" x14ac:dyDescent="0.2">
      <c r="A132" s="182"/>
      <c r="B132" s="183"/>
      <c r="C132" s="183"/>
      <c r="D132" s="184"/>
      <c r="E132" s="184"/>
      <c r="F132" s="184"/>
      <c r="G132" s="182"/>
      <c r="H132" s="185"/>
      <c r="I132" s="186"/>
      <c r="J132" s="182"/>
      <c r="K132" s="183"/>
      <c r="L132" s="194"/>
      <c r="M132" s="182"/>
      <c r="N132" s="191"/>
      <c r="O132" s="1"/>
      <c r="P132" s="1"/>
      <c r="Q132" s="183"/>
      <c r="R132" s="187"/>
      <c r="S132" s="1"/>
      <c r="T132" s="1"/>
      <c r="U132" s="1"/>
      <c r="V132" s="1"/>
      <c r="W132" s="211"/>
    </row>
    <row r="133" spans="1:23" ht="16.95" hidden="1" customHeight="1" x14ac:dyDescent="0.2">
      <c r="A133" s="54">
        <v>31</v>
      </c>
      <c r="B133" s="12" t="s">
        <v>192</v>
      </c>
      <c r="C133" s="12"/>
      <c r="D133" s="5" t="s">
        <v>207</v>
      </c>
      <c r="E133" s="122" t="s">
        <v>14</v>
      </c>
      <c r="F133" s="5" t="s">
        <v>208</v>
      </c>
      <c r="G133" s="7" t="s">
        <v>22</v>
      </c>
      <c r="H133" s="8" t="s">
        <v>209</v>
      </c>
      <c r="I133" s="9">
        <f t="shared" si="2"/>
        <v>0.8</v>
      </c>
      <c r="J133" s="7">
        <v>1</v>
      </c>
      <c r="K133" s="12">
        <v>0.8</v>
      </c>
      <c r="L133" s="137" t="s">
        <v>199</v>
      </c>
      <c r="M133" s="7" t="s">
        <v>213</v>
      </c>
      <c r="N133" s="152">
        <v>975</v>
      </c>
      <c r="O133" s="11">
        <f>Table13[[#This Row],[Per/ct2]]*Table13[[#This Row],[Diam Cts]]</f>
        <v>780</v>
      </c>
      <c r="P133" s="11"/>
      <c r="Q133" s="12"/>
      <c r="R133" s="13"/>
      <c r="S133" s="11"/>
      <c r="T133" s="11"/>
      <c r="U133" s="11"/>
      <c r="V133" s="188"/>
      <c r="W133" s="211"/>
    </row>
    <row r="134" spans="1:23" ht="16.95" hidden="1" customHeight="1" x14ac:dyDescent="0.2">
      <c r="A134" s="55"/>
      <c r="B134" s="20"/>
      <c r="C134" s="20"/>
      <c r="D134" s="22" t="s">
        <v>210</v>
      </c>
      <c r="E134" s="15"/>
      <c r="F134" s="15"/>
      <c r="G134" s="14" t="s">
        <v>22</v>
      </c>
      <c r="H134" s="16" t="s">
        <v>146</v>
      </c>
      <c r="I134" s="17">
        <f t="shared" si="2"/>
        <v>0.505</v>
      </c>
      <c r="J134" s="14">
        <v>2</v>
      </c>
      <c r="K134" s="20">
        <v>1.01</v>
      </c>
      <c r="L134" s="139"/>
      <c r="M134" s="14" t="s">
        <v>187</v>
      </c>
      <c r="N134" s="153">
        <v>775</v>
      </c>
      <c r="O134" s="19">
        <f>Table13[[#This Row],[Per/ct2]]*Table13[[#This Row],[Diam Cts]]</f>
        <v>782.75</v>
      </c>
      <c r="P134" s="19"/>
      <c r="Q134" s="20"/>
      <c r="R134" s="21"/>
      <c r="S134" s="19"/>
      <c r="T134" s="19"/>
      <c r="U134" s="19"/>
      <c r="V134" s="189"/>
      <c r="W134" s="211"/>
    </row>
    <row r="135" spans="1:23" ht="16.95" hidden="1" customHeight="1" x14ac:dyDescent="0.2">
      <c r="A135" s="55"/>
      <c r="B135" s="20"/>
      <c r="C135" s="20"/>
      <c r="D135" s="15" t="s">
        <v>211</v>
      </c>
      <c r="E135" s="15"/>
      <c r="F135" s="15"/>
      <c r="G135" s="14" t="s">
        <v>22</v>
      </c>
      <c r="H135" s="16" t="s">
        <v>202</v>
      </c>
      <c r="I135" s="17">
        <f t="shared" si="2"/>
        <v>0.46500000000000002</v>
      </c>
      <c r="J135" s="14">
        <v>2</v>
      </c>
      <c r="K135" s="20">
        <v>0.93</v>
      </c>
      <c r="L135" s="139"/>
      <c r="M135" s="14" t="s">
        <v>177</v>
      </c>
      <c r="N135" s="153">
        <v>715</v>
      </c>
      <c r="O135" s="19">
        <f>Table13[[#This Row],[Per/ct2]]*Table13[[#This Row],[Diam Cts]]</f>
        <v>664.95</v>
      </c>
      <c r="P135" s="19"/>
      <c r="Q135" s="20"/>
      <c r="R135" s="21"/>
      <c r="S135" s="19"/>
      <c r="T135" s="19"/>
      <c r="U135" s="19"/>
      <c r="V135" s="189"/>
      <c r="W135" s="211"/>
    </row>
    <row r="136" spans="1:23" ht="16.95" hidden="1" customHeight="1" x14ac:dyDescent="0.2">
      <c r="A136" s="55"/>
      <c r="B136" s="20"/>
      <c r="C136" s="20"/>
      <c r="D136" s="15"/>
      <c r="E136" s="15"/>
      <c r="F136" s="15"/>
      <c r="G136" s="14" t="s">
        <v>22</v>
      </c>
      <c r="H136" s="16" t="s">
        <v>156</v>
      </c>
      <c r="I136" s="17">
        <f t="shared" si="2"/>
        <v>0.38500000000000001</v>
      </c>
      <c r="J136" s="14">
        <v>2</v>
      </c>
      <c r="K136" s="20">
        <v>0.77</v>
      </c>
      <c r="L136" s="139"/>
      <c r="M136" s="14" t="s">
        <v>177</v>
      </c>
      <c r="N136" s="153">
        <v>675</v>
      </c>
      <c r="O136" s="19">
        <f>Table13[[#This Row],[Per/ct2]]*Table13[[#This Row],[Diam Cts]]</f>
        <v>519.75</v>
      </c>
      <c r="P136" s="19"/>
      <c r="Q136" s="20"/>
      <c r="R136" s="21"/>
      <c r="S136" s="19"/>
      <c r="T136" s="19"/>
      <c r="U136" s="19"/>
      <c r="V136" s="189"/>
      <c r="W136" s="211"/>
    </row>
    <row r="137" spans="1:23" ht="16.95" hidden="1" customHeight="1" x14ac:dyDescent="0.2">
      <c r="A137" s="55"/>
      <c r="B137" s="20"/>
      <c r="C137" s="20"/>
      <c r="D137" s="15"/>
      <c r="E137" s="15"/>
      <c r="F137" s="15"/>
      <c r="G137" s="14" t="s">
        <v>22</v>
      </c>
      <c r="H137" s="16" t="s">
        <v>112</v>
      </c>
      <c r="I137" s="17">
        <f t="shared" si="2"/>
        <v>0.33500000000000002</v>
      </c>
      <c r="J137" s="14">
        <v>4</v>
      </c>
      <c r="K137" s="20">
        <v>1.34</v>
      </c>
      <c r="L137" s="139"/>
      <c r="M137" s="14" t="s">
        <v>174</v>
      </c>
      <c r="N137" s="153">
        <v>625</v>
      </c>
      <c r="O137" s="19">
        <f>Table13[[#This Row],[Per/ct2]]*Table13[[#This Row],[Diam Cts]]</f>
        <v>837.5</v>
      </c>
      <c r="P137" s="19"/>
      <c r="Q137" s="20"/>
      <c r="R137" s="21"/>
      <c r="S137" s="19"/>
      <c r="T137" s="19"/>
      <c r="U137" s="19"/>
      <c r="V137" s="189"/>
      <c r="W137" s="211"/>
    </row>
    <row r="138" spans="1:23" ht="16.95" hidden="1" customHeight="1" x14ac:dyDescent="0.2">
      <c r="A138" s="55"/>
      <c r="B138" s="20"/>
      <c r="C138" s="20"/>
      <c r="D138" s="15"/>
      <c r="E138" s="15"/>
      <c r="F138" s="15"/>
      <c r="G138" s="14" t="s">
        <v>22</v>
      </c>
      <c r="H138" s="16" t="s">
        <v>69</v>
      </c>
      <c r="I138" s="17">
        <f t="shared" si="2"/>
        <v>0.25</v>
      </c>
      <c r="J138" s="14">
        <v>4</v>
      </c>
      <c r="K138" s="20">
        <v>1</v>
      </c>
      <c r="L138" s="139"/>
      <c r="M138" s="14" t="s">
        <v>174</v>
      </c>
      <c r="N138" s="153">
        <v>600</v>
      </c>
      <c r="O138" s="19">
        <f>Table13[[#This Row],[Per/ct2]]*Table13[[#This Row],[Diam Cts]]</f>
        <v>600</v>
      </c>
      <c r="P138" s="19"/>
      <c r="Q138" s="20"/>
      <c r="R138" s="21"/>
      <c r="S138" s="19"/>
      <c r="T138" s="19"/>
      <c r="U138" s="19"/>
      <c r="V138" s="189"/>
      <c r="W138" s="211"/>
    </row>
    <row r="139" spans="1:23" ht="16.95" hidden="1" customHeight="1" x14ac:dyDescent="0.2">
      <c r="A139" s="55"/>
      <c r="B139" s="20"/>
      <c r="C139" s="20"/>
      <c r="D139" s="15"/>
      <c r="E139" s="15"/>
      <c r="F139" s="15"/>
      <c r="G139" s="14" t="s">
        <v>22</v>
      </c>
      <c r="H139" s="16" t="s">
        <v>78</v>
      </c>
      <c r="I139" s="17">
        <f t="shared" si="2"/>
        <v>0.185</v>
      </c>
      <c r="J139" s="14">
        <v>2</v>
      </c>
      <c r="K139" s="20">
        <v>0.37</v>
      </c>
      <c r="L139" s="139"/>
      <c r="M139" s="14" t="s">
        <v>179</v>
      </c>
      <c r="N139" s="153">
        <v>550</v>
      </c>
      <c r="O139" s="19">
        <f>Table13[[#This Row],[Per/ct2]]*Table13[[#This Row],[Diam Cts]]</f>
        <v>203.5</v>
      </c>
      <c r="P139" s="19"/>
      <c r="Q139" s="20"/>
      <c r="R139" s="21"/>
      <c r="S139" s="19"/>
      <c r="T139" s="19"/>
      <c r="U139" s="19"/>
      <c r="V139" s="189"/>
      <c r="W139" s="211"/>
    </row>
    <row r="140" spans="1:23" ht="16.95" hidden="1" customHeight="1" x14ac:dyDescent="0.2">
      <c r="A140" s="55"/>
      <c r="B140" s="20"/>
      <c r="C140" s="20"/>
      <c r="D140" s="15"/>
      <c r="E140" s="15"/>
      <c r="F140" s="15"/>
      <c r="G140" s="14" t="s">
        <v>22</v>
      </c>
      <c r="H140" s="16" t="s">
        <v>212</v>
      </c>
      <c r="I140" s="17">
        <f t="shared" si="2"/>
        <v>0.17</v>
      </c>
      <c r="J140" s="14">
        <v>2</v>
      </c>
      <c r="K140" s="20">
        <v>0.34</v>
      </c>
      <c r="L140" s="139"/>
      <c r="M140" s="14" t="s">
        <v>170</v>
      </c>
      <c r="N140" s="153">
        <v>535</v>
      </c>
      <c r="O140" s="19">
        <f>Table13[[#This Row],[Per/ct2]]*Table13[[#This Row],[Diam Cts]]</f>
        <v>181.9</v>
      </c>
      <c r="P140" s="19"/>
      <c r="Q140" s="20"/>
      <c r="R140" s="21"/>
      <c r="S140" s="19"/>
      <c r="T140" s="19"/>
      <c r="U140" s="19"/>
      <c r="V140" s="189"/>
      <c r="W140" s="211"/>
    </row>
    <row r="141" spans="1:23" ht="16.95" hidden="1" customHeight="1" x14ac:dyDescent="0.2">
      <c r="A141" s="55"/>
      <c r="B141" s="20"/>
      <c r="C141" s="20"/>
      <c r="D141" s="15"/>
      <c r="E141" s="15"/>
      <c r="F141" s="15"/>
      <c r="G141" s="14" t="s">
        <v>22</v>
      </c>
      <c r="H141" s="16" t="s">
        <v>204</v>
      </c>
      <c r="I141" s="17">
        <f t="shared" si="2"/>
        <v>0.12333333333333334</v>
      </c>
      <c r="J141" s="14">
        <v>6</v>
      </c>
      <c r="K141" s="20">
        <v>0.74</v>
      </c>
      <c r="L141" s="139"/>
      <c r="M141" s="14" t="s">
        <v>176</v>
      </c>
      <c r="N141" s="153">
        <v>515</v>
      </c>
      <c r="O141" s="19">
        <f>Table13[[#This Row],[Per/ct2]]*Table13[[#This Row],[Diam Cts]]</f>
        <v>381.1</v>
      </c>
      <c r="P141" s="19"/>
      <c r="Q141" s="20"/>
      <c r="R141" s="21"/>
      <c r="S141" s="19"/>
      <c r="T141" s="19"/>
      <c r="U141" s="19"/>
      <c r="V141" s="189"/>
      <c r="W141" s="211"/>
    </row>
    <row r="142" spans="1:23" ht="16.95" hidden="1" customHeight="1" x14ac:dyDescent="0.2">
      <c r="A142" s="55"/>
      <c r="B142" s="20"/>
      <c r="C142" s="20"/>
      <c r="D142" s="15"/>
      <c r="E142" s="15"/>
      <c r="F142" s="15"/>
      <c r="G142" s="14" t="s">
        <v>22</v>
      </c>
      <c r="H142" s="16" t="s">
        <v>80</v>
      </c>
      <c r="I142" s="17">
        <f t="shared" si="2"/>
        <v>8.3999999999999991E-2</v>
      </c>
      <c r="J142" s="14">
        <v>20</v>
      </c>
      <c r="K142" s="20">
        <v>1.68</v>
      </c>
      <c r="L142" s="139"/>
      <c r="M142" s="14" t="s">
        <v>180</v>
      </c>
      <c r="N142" s="153">
        <v>475</v>
      </c>
      <c r="O142" s="19">
        <f>Table13[[#This Row],[Per/ct2]]*Table13[[#This Row],[Diam Cts]]</f>
        <v>798</v>
      </c>
      <c r="P142" s="19"/>
      <c r="Q142" s="20"/>
      <c r="R142" s="21"/>
      <c r="S142" s="19"/>
      <c r="T142" s="19"/>
      <c r="U142" s="19"/>
      <c r="V142" s="189"/>
      <c r="W142" s="211"/>
    </row>
    <row r="143" spans="1:23" ht="16.95" hidden="1" customHeight="1" x14ac:dyDescent="0.2">
      <c r="A143" s="55"/>
      <c r="B143" s="20"/>
      <c r="C143" s="20"/>
      <c r="D143" s="15"/>
      <c r="E143" s="15"/>
      <c r="F143" s="15"/>
      <c r="G143" s="14" t="s">
        <v>22</v>
      </c>
      <c r="H143" s="16" t="s">
        <v>205</v>
      </c>
      <c r="I143" s="17">
        <f t="shared" si="2"/>
        <v>5.0757575757575758E-2</v>
      </c>
      <c r="J143" s="14">
        <v>66</v>
      </c>
      <c r="K143" s="20">
        <v>3.35</v>
      </c>
      <c r="L143" s="139"/>
      <c r="M143" s="14" t="s">
        <v>173</v>
      </c>
      <c r="N143" s="153">
        <v>350</v>
      </c>
      <c r="O143" s="19">
        <f>Table13[[#This Row],[Per/ct2]]*Table13[[#This Row],[Diam Cts]]</f>
        <v>1172.5</v>
      </c>
      <c r="P143" s="19"/>
      <c r="Q143" s="20"/>
      <c r="R143" s="21"/>
      <c r="S143" s="19"/>
      <c r="T143" s="19"/>
      <c r="U143" s="19"/>
      <c r="V143" s="189"/>
      <c r="W143" s="211"/>
    </row>
    <row r="144" spans="1:23" ht="16.95" hidden="1" customHeight="1" x14ac:dyDescent="0.2">
      <c r="A144" s="56"/>
      <c r="B144" s="35"/>
      <c r="C144" s="35"/>
      <c r="D144" s="36"/>
      <c r="E144" s="36"/>
      <c r="F144" s="36"/>
      <c r="G144" s="39" t="s">
        <v>22</v>
      </c>
      <c r="H144" s="37" t="s">
        <v>206</v>
      </c>
      <c r="I144" s="38">
        <f t="shared" si="2"/>
        <v>2.9722222222222223E-2</v>
      </c>
      <c r="J144" s="39">
        <v>36</v>
      </c>
      <c r="K144" s="35">
        <v>1.07</v>
      </c>
      <c r="L144" s="136"/>
      <c r="M144" s="39" t="s">
        <v>171</v>
      </c>
      <c r="N144" s="154">
        <v>330</v>
      </c>
      <c r="O144" s="41">
        <f>Table13[[#This Row],[Per/ct2]]*Table13[[#This Row],[Diam Cts]]</f>
        <v>353.1</v>
      </c>
      <c r="P144" s="41">
        <v>103.5</v>
      </c>
      <c r="Q144" s="35">
        <v>22.55</v>
      </c>
      <c r="R144" s="58">
        <v>19.87</v>
      </c>
      <c r="S144" s="41">
        <f>Table13[[#This Row],[Net Gm]]*Table13[[#This Row],[Gold/gm]]</f>
        <v>2056.5450000000001</v>
      </c>
      <c r="T144" s="41">
        <v>475</v>
      </c>
      <c r="U144" s="41">
        <v>254.6</v>
      </c>
      <c r="V144" s="193">
        <f>Table13[[#This Row],[Cert Exp]]+Table13[[#This Row],[Labour]]+Table13[[#This Row],[Gold Total]]+O133+O134+O135+O136+O137+O138+O139+O140+O141+O142+O143+Table13[[#This Row],[Diam Total]]</f>
        <v>10061.195000000002</v>
      </c>
      <c r="W144" s="213"/>
    </row>
    <row r="145" spans="1:23" ht="16.95" customHeight="1" x14ac:dyDescent="0.2">
      <c r="A145" s="158">
        <f>SUBTOTAL(103,Table13[Sr])</f>
        <v>4</v>
      </c>
      <c r="B145" s="161"/>
      <c r="C145" s="161"/>
      <c r="D145" s="160"/>
      <c r="E145" s="160"/>
      <c r="F145" s="160"/>
      <c r="G145" s="161"/>
      <c r="H145" s="160"/>
      <c r="I145" s="161"/>
      <c r="J145" s="161">
        <f>SUBTOTAL(109,Table13[No.Pcs])</f>
        <v>182</v>
      </c>
      <c r="K145" s="159">
        <f>SUBTOTAL(109,Table13[Diam Cts])</f>
        <v>34.980000000000004</v>
      </c>
      <c r="L145" s="160"/>
      <c r="M145" s="161"/>
      <c r="N145" s="161"/>
      <c r="O145" s="162">
        <f>SUBTOTAL(109,Table13[Diam Total])</f>
        <v>21886</v>
      </c>
      <c r="P145" s="161"/>
      <c r="Q145" s="159">
        <f>SUBTOTAL(109,Table13[Gross Gm])</f>
        <v>55.58</v>
      </c>
      <c r="R145" s="180">
        <f>SUBTOTAL(109,Table13[Net Gm])</f>
        <v>48.583999999999996</v>
      </c>
      <c r="S145" s="163">
        <f>SUBTOTAL(109,Table13[Gold Total])</f>
        <v>5028.4439999999995</v>
      </c>
      <c r="T145" s="163">
        <f>SUBTOTAL(109,Table13[Labour])</f>
        <v>1135</v>
      </c>
      <c r="U145" s="163">
        <f>SUBTOTAL(109,Table13[Cert Exp])</f>
        <v>664.62</v>
      </c>
      <c r="V145" s="164">
        <f>SUBTOTAL(109,Table13[Total Amt])</f>
        <v>28714.063999999998</v>
      </c>
      <c r="W145" s="215"/>
    </row>
    <row r="146" spans="1:23" ht="16.9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>
        <v>1</v>
      </c>
      <c r="P146" s="3"/>
      <c r="Q146" s="3"/>
      <c r="R146" s="3"/>
      <c r="S146" s="3">
        <v>2</v>
      </c>
      <c r="T146" s="3">
        <v>3</v>
      </c>
      <c r="U146" s="3">
        <v>4</v>
      </c>
      <c r="V146" s="3" t="s">
        <v>142</v>
      </c>
    </row>
    <row r="147" spans="1:23" ht="16.95" customHeight="1" x14ac:dyDescent="0.2">
      <c r="A147" s="209" t="s">
        <v>214</v>
      </c>
      <c r="B147" s="209"/>
      <c r="C147" s="209"/>
      <c r="D147" s="209"/>
      <c r="E147" s="209"/>
    </row>
    <row r="148" spans="1:23" ht="16.95" customHeight="1" x14ac:dyDescent="0.2">
      <c r="A148" s="209" t="s">
        <v>216</v>
      </c>
      <c r="B148" s="209"/>
      <c r="C148" s="209"/>
      <c r="D148" s="209"/>
      <c r="E148" s="209"/>
    </row>
    <row r="149" spans="1:23" ht="16.95" customHeight="1" x14ac:dyDescent="0.2">
      <c r="A149" s="210" t="s">
        <v>218</v>
      </c>
      <c r="B149" s="210"/>
      <c r="C149" s="210"/>
      <c r="D149" s="210"/>
      <c r="E149" s="210"/>
    </row>
  </sheetData>
  <mergeCells count="5">
    <mergeCell ref="A2:V2"/>
    <mergeCell ref="A3:V3"/>
    <mergeCell ref="A147:E147"/>
    <mergeCell ref="A148:E148"/>
    <mergeCell ref="A149:E149"/>
  </mergeCells>
  <hyperlinks>
    <hyperlink ref="E5" r:id="rId1" xr:uid="{ABE13D98-3BCA-4B63-90BB-1E05C5B1AEA7}"/>
    <hyperlink ref="E9" r:id="rId2" xr:uid="{0107EFBB-B75C-4CE2-ABFF-B24D0F9A0D03}"/>
    <hyperlink ref="E13" r:id="rId3" xr:uid="{EE5CB76B-EBC9-4EFF-968D-29161B774E71}"/>
    <hyperlink ref="E17" r:id="rId4" xr:uid="{D8D557B7-665B-4B28-BEFC-6E7D256F8396}"/>
    <hyperlink ref="E21" r:id="rId5" xr:uid="{CF6E12CE-257D-479E-A01D-166C399625DC}"/>
    <hyperlink ref="E24" r:id="rId6" xr:uid="{D1089092-19E2-401C-8790-F6C36B6ACD1B}"/>
    <hyperlink ref="E27" r:id="rId7" xr:uid="{5521CF53-8D29-4E8C-8FB2-C8A7389313A8}"/>
    <hyperlink ref="E30" r:id="rId8" xr:uid="{E7DEFCC6-499B-49F3-885E-47788961BB98}"/>
    <hyperlink ref="E33" r:id="rId9" xr:uid="{97B5273B-3815-437A-BBCC-F7C5F10B3FFD}"/>
    <hyperlink ref="E36" r:id="rId10" xr:uid="{6CD4B6F1-62A4-4ADF-8EE8-31FDE84B71AC}"/>
    <hyperlink ref="E39" r:id="rId11" xr:uid="{F0EDF0F7-493A-4E93-9258-7D93C3FA2E5A}"/>
    <hyperlink ref="E42" r:id="rId12" xr:uid="{8C335EE4-8B1B-48EA-878A-C0DFCC5D73E9}"/>
    <hyperlink ref="E45" r:id="rId13" xr:uid="{2AC622B7-7CE5-475A-AA49-8CBC75DACB33}"/>
    <hyperlink ref="E49" r:id="rId14" xr:uid="{B37FAB78-B7C3-4E22-9AFC-979B5479FBDB}"/>
    <hyperlink ref="E52" r:id="rId15" xr:uid="{AB2B529A-6A71-4FA5-BAEF-EB2EDBE19311}"/>
    <hyperlink ref="E55" r:id="rId16" xr:uid="{CE99BD8C-9BAD-49A1-AD14-F17D4BD4A3B7}"/>
    <hyperlink ref="E58" r:id="rId17" xr:uid="{4C921324-D999-4FFA-BBB8-BFF8C242B255}"/>
    <hyperlink ref="E61" r:id="rId18" xr:uid="{8C9E0A58-DEE1-46BE-8D47-3BC045B4E359}"/>
    <hyperlink ref="E64" r:id="rId19" xr:uid="{8A62F7DB-8091-4B1C-99F6-108837840FB2}"/>
    <hyperlink ref="E69" r:id="rId20" xr:uid="{901EBB8D-18FF-4AB5-B255-A6EF8BFA1A4A}"/>
    <hyperlink ref="E71" r:id="rId21" xr:uid="{F6A52582-ACE4-4E56-BF59-E98F0FFDCC02}"/>
    <hyperlink ref="E74" r:id="rId22" xr:uid="{0967D28B-ADC4-4596-97CA-A9A6A27E625B}"/>
    <hyperlink ref="E77" r:id="rId23" xr:uid="{B6FFD574-D1D9-456C-92BE-1153ECDA0FA0}"/>
    <hyperlink ref="E80" r:id="rId24" xr:uid="{F93A7EBB-8908-496E-AFD9-7C53C1E77524}"/>
    <hyperlink ref="E86" r:id="rId25" xr:uid="{5F5769AA-7D30-4769-9DF8-CA223C6AE4B1}"/>
    <hyperlink ref="E114" r:id="rId26" xr:uid="{7B9B4C6A-B1FF-493E-96CA-C4ACA3BFD6B8}"/>
    <hyperlink ref="E94" r:id="rId27" xr:uid="{778C6711-D863-46FC-A9A3-0F66443FBAF3}"/>
    <hyperlink ref="E103" r:id="rId28" xr:uid="{CB51E8C1-D5DA-4782-9407-160506D7BE62}"/>
    <hyperlink ref="E119" r:id="rId29" xr:uid="{1237198A-C15A-47A0-86D8-C64FE0382C34}"/>
    <hyperlink ref="E122" r:id="rId30" xr:uid="{9FA14BB2-570D-4A46-A6CE-536E98450CE3}"/>
    <hyperlink ref="E133" r:id="rId31" xr:uid="{72CBEAD9-63F5-47E6-A285-7159D977ADC0}"/>
  </hyperlinks>
  <pageMargins left="0.51181102362204722" right="0.51181102362204722" top="0.74803149606299213" bottom="0.74803149606299213" header="0.31496062992125984" footer="0.31496062992125984"/>
  <pageSetup paperSize="9" scale="66" orientation="landscape" r:id="rId32"/>
  <headerFooter>
    <oddHeader>Page &amp;P of &amp;N</oddHeader>
    <oddFooter>Page &amp;P of &amp;N</oddFooter>
  </headerFooter>
  <ignoredErrors>
    <ignoredError sqref="I57:I144 U57:V144 S57:S144 S7:S30 U7:V30 I5:I30 S32:S55 U32:V55 I32:I55" unlockedFormula="1"/>
  </ignoredErrors>
  <drawing r:id="rId33"/>
  <legacyDrawing r:id="rId34"/>
  <tableParts count="1">
    <tablePart r:id="rId3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Orignal</vt:lpstr>
      <vt:lpstr>With Pictures</vt:lpstr>
      <vt:lpstr>Orignal!Print_Titles</vt:lpstr>
      <vt:lpstr>'With Pictures'!Print_Titles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Star-Viraj Shah</dc:creator>
  <cp:lastModifiedBy>Antonia Star-Viraj Shah</cp:lastModifiedBy>
  <cp:lastPrinted>2026-07-02T08:55:47Z</cp:lastPrinted>
  <dcterms:created xsi:type="dcterms:W3CDTF">2026-07-01T09:16:34Z</dcterms:created>
  <dcterms:modified xsi:type="dcterms:W3CDTF">2026-07-08T09:33:17Z</dcterms:modified>
</cp:coreProperties>
</file>