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03\new data important\1.NEW DATA 10.10.2015\"/>
    </mc:Choice>
  </mc:AlternateContent>
  <xr:revisionPtr revIDLastSave="0" documentId="13_ncr:1_{918FD28D-EDF0-42EA-9727-5439CD616BD8}" xr6:coauthVersionLast="47" xr6:coauthVersionMax="47" xr10:uidLastSave="{00000000-0000-0000-0000-000000000000}"/>
  <bookViews>
    <workbookView xWindow="-108" yWindow="-108" windowWidth="23256" windowHeight="12456" xr2:uid="{835A5754-6BBF-4F90-83BB-A87F7AD7FC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6" i="1" l="1"/>
  <c r="O46" i="1"/>
  <c r="N46" i="1"/>
  <c r="H46" i="1"/>
  <c r="G46" i="1"/>
  <c r="A46" i="1"/>
  <c r="R45" i="1"/>
  <c r="R33" i="1"/>
  <c r="R22" i="1"/>
  <c r="R10" i="1"/>
  <c r="R8" i="1"/>
  <c r="R7" i="1"/>
  <c r="R6" i="1"/>
  <c r="R5" i="1"/>
  <c r="P45" i="1"/>
  <c r="P33" i="1"/>
  <c r="P22" i="1"/>
  <c r="P10" i="1"/>
  <c r="P8" i="1"/>
  <c r="P7" i="1"/>
  <c r="P6" i="1"/>
  <c r="P5" i="1"/>
  <c r="L45" i="1"/>
  <c r="L44" i="1"/>
  <c r="L43" i="1"/>
  <c r="L42" i="1"/>
  <c r="L41" i="1"/>
  <c r="L40" i="1"/>
  <c r="L39" i="1"/>
  <c r="L38" i="1"/>
  <c r="L37" i="1"/>
  <c r="L36" i="1"/>
  <c r="L35" i="1"/>
  <c r="L33" i="1"/>
  <c r="L32" i="1"/>
  <c r="L31" i="1"/>
  <c r="L30" i="1"/>
  <c r="L29" i="1"/>
  <c r="L28" i="1"/>
  <c r="L27" i="1"/>
  <c r="L26" i="1"/>
  <c r="L25" i="1"/>
  <c r="L24" i="1"/>
  <c r="L22" i="1"/>
  <c r="L21" i="1"/>
  <c r="L20" i="1"/>
  <c r="L19" i="1"/>
  <c r="L18" i="1"/>
  <c r="L17" i="1"/>
  <c r="L16" i="1"/>
  <c r="L15" i="1"/>
  <c r="L14" i="1"/>
  <c r="L13" i="1"/>
  <c r="L10" i="1"/>
  <c r="L8" i="1"/>
  <c r="L7" i="1"/>
  <c r="S7" i="1" s="1"/>
  <c r="L6" i="1"/>
  <c r="L5" i="1"/>
  <c r="F45" i="1"/>
  <c r="F44" i="1"/>
  <c r="F43" i="1"/>
  <c r="F42" i="1"/>
  <c r="F41" i="1"/>
  <c r="F40" i="1"/>
  <c r="F39" i="1"/>
  <c r="F38" i="1"/>
  <c r="F37" i="1"/>
  <c r="F36" i="1"/>
  <c r="F35" i="1"/>
  <c r="F33" i="1"/>
  <c r="F32" i="1"/>
  <c r="F31" i="1"/>
  <c r="F30" i="1"/>
  <c r="F29" i="1"/>
  <c r="F28" i="1"/>
  <c r="F27" i="1"/>
  <c r="F26" i="1"/>
  <c r="F25" i="1"/>
  <c r="F24" i="1"/>
  <c r="F22" i="1"/>
  <c r="F21" i="1"/>
  <c r="F20" i="1"/>
  <c r="F19" i="1"/>
  <c r="F18" i="1"/>
  <c r="F17" i="1"/>
  <c r="F16" i="1"/>
  <c r="F15" i="1"/>
  <c r="F14" i="1"/>
  <c r="F13" i="1"/>
  <c r="F10" i="1"/>
  <c r="F8" i="1"/>
  <c r="F7" i="1"/>
  <c r="F6" i="1"/>
  <c r="F5" i="1"/>
  <c r="S8" i="1" l="1"/>
  <c r="P46" i="1"/>
  <c r="L46" i="1"/>
  <c r="S45" i="1"/>
  <c r="S10" i="1"/>
  <c r="S22" i="1"/>
  <c r="S33" i="1"/>
  <c r="S5" i="1"/>
  <c r="S46" i="1" s="1"/>
  <c r="S48" i="1" s="1"/>
  <c r="S6" i="1"/>
  <c r="R46" i="1"/>
</calcChain>
</file>

<file path=xl/sharedStrings.xml><?xml version="1.0" encoding="utf-8"?>
<sst xmlns="http://schemas.openxmlformats.org/spreadsheetml/2006/main" count="137" uniqueCount="91">
  <si>
    <t>Sr</t>
  </si>
  <si>
    <t>ITEM</t>
  </si>
  <si>
    <t>LAB</t>
  </si>
  <si>
    <t>Cert Number</t>
  </si>
  <si>
    <t>HRD</t>
  </si>
  <si>
    <t>J250000089670</t>
  </si>
  <si>
    <t>Size Avg.</t>
  </si>
  <si>
    <t>Avg Pts</t>
  </si>
  <si>
    <t>No.Pcs</t>
  </si>
  <si>
    <t>Diam Cts</t>
  </si>
  <si>
    <t>Col - Clarity</t>
  </si>
  <si>
    <t>1/5</t>
  </si>
  <si>
    <t>EF SI</t>
  </si>
  <si>
    <t>LOT</t>
  </si>
  <si>
    <t>Per/ct</t>
  </si>
  <si>
    <t>Diam Total</t>
  </si>
  <si>
    <t>Gold+Lab</t>
  </si>
  <si>
    <t>Gross Gm</t>
  </si>
  <si>
    <t>Net Gm</t>
  </si>
  <si>
    <t>Gold Total</t>
  </si>
  <si>
    <t>Diam Settg</t>
  </si>
  <si>
    <t>Cert Exp</t>
  </si>
  <si>
    <t>CCZZ</t>
  </si>
  <si>
    <t>J250000040440</t>
  </si>
  <si>
    <t>1/4</t>
  </si>
  <si>
    <t>EF VVS-VS</t>
  </si>
  <si>
    <t>CXDX</t>
  </si>
  <si>
    <t>J250000112877</t>
  </si>
  <si>
    <t>1/3</t>
  </si>
  <si>
    <t>CCCC</t>
  </si>
  <si>
    <t>J240000112197</t>
  </si>
  <si>
    <t>45-49</t>
  </si>
  <si>
    <t>FG SI</t>
  </si>
  <si>
    <t>CSSZ</t>
  </si>
  <si>
    <t>(1+2+3+4)</t>
  </si>
  <si>
    <t>Half Straight Necklace</t>
  </si>
  <si>
    <t>J240000105224</t>
  </si>
  <si>
    <t>Cts : 17.43 / Pcs : 55</t>
  </si>
  <si>
    <t>EF VS SI</t>
  </si>
  <si>
    <t>CXUC</t>
  </si>
  <si>
    <t>70% Graduation Necklace Rounds</t>
  </si>
  <si>
    <t>J250000119837</t>
  </si>
  <si>
    <t>Cts : 11.13 / Pcs : 109</t>
  </si>
  <si>
    <t>12 inch Dia + 5 Inch Gold=17 Inch</t>
  </si>
  <si>
    <t>1ct</t>
  </si>
  <si>
    <t xml:space="preserve">EF VS-SI </t>
  </si>
  <si>
    <t>50</t>
  </si>
  <si>
    <t>+12-14</t>
  </si>
  <si>
    <t>+11-12</t>
  </si>
  <si>
    <t>+8-11</t>
  </si>
  <si>
    <t>+6.50-8</t>
  </si>
  <si>
    <t>CUSZZ</t>
  </si>
  <si>
    <t>CHCZ</t>
  </si>
  <si>
    <t>CSZZ</t>
  </si>
  <si>
    <t>CCQC</t>
  </si>
  <si>
    <t>CCXZ</t>
  </si>
  <si>
    <t>CQXC</t>
  </si>
  <si>
    <t>CTXC</t>
  </si>
  <si>
    <t>CTCC</t>
  </si>
  <si>
    <t>Full Graduation Necklace</t>
  </si>
  <si>
    <t>J250000161742</t>
  </si>
  <si>
    <t>Cts : 13.98/ Pcs : 149</t>
  </si>
  <si>
    <t>17 Inch</t>
  </si>
  <si>
    <t>90</t>
  </si>
  <si>
    <t>1/2</t>
  </si>
  <si>
    <t>3/8</t>
  </si>
  <si>
    <t>CUTCZ</t>
  </si>
  <si>
    <t>CHZZ</t>
  </si>
  <si>
    <t>CCXH</t>
  </si>
  <si>
    <t>CQCC</t>
  </si>
  <si>
    <t>70% Graduation Necklace</t>
  </si>
  <si>
    <t>J250000130904</t>
  </si>
  <si>
    <t>Cts : 18.71 / Pcs : 90</t>
  </si>
  <si>
    <t>FG VS-SI</t>
  </si>
  <si>
    <t>+14</t>
  </si>
  <si>
    <t>+6.50-7</t>
  </si>
  <si>
    <t>CUQCZ</t>
  </si>
  <si>
    <t>CSCZ</t>
  </si>
  <si>
    <t>CCSC</t>
  </si>
  <si>
    <t>CQSC</t>
  </si>
  <si>
    <t>CQCZ</t>
  </si>
  <si>
    <t>CTXZ</t>
  </si>
  <si>
    <t>Tennis Braclet Round</t>
  </si>
  <si>
    <t>Total Amt $</t>
  </si>
  <si>
    <t>1.All Hrd Certificates orignal is issued.</t>
  </si>
  <si>
    <t>2.Prices are absolutely final.</t>
  </si>
  <si>
    <t>18k White Gold Jewellery in Studded Natural Diamonds.</t>
  </si>
  <si>
    <t>Consignment Packing List of B.V.Mamiya Jewellery ( Dated : 08 Jan 2026 )</t>
  </si>
  <si>
    <t>Aed :</t>
  </si>
  <si>
    <t>Comm</t>
  </si>
  <si>
    <t>ANTS-J-0038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</si>
</sst>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&quot;$&quot;#,##0.00"/>
    <numFmt numFmtId="166" formatCode="[$$-1009]#,##0.00"/>
    <numFmt numFmtId="167" formatCode="#,##0.000"/>
    <numFmt numFmtId="168" formatCode="&quot;AED&quot;#,##0.0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mbria"/>
      <family val="1"/>
    </font>
    <font>
      <sz val="9"/>
      <color theme="1" tint="4.9989318521683403E-2"/>
      <name val="Cambria"/>
      <family val="1"/>
    </font>
    <font>
      <b/>
      <sz val="9"/>
      <name val="Cambria"/>
      <family val="1"/>
    </font>
    <font>
      <b/>
      <sz val="9"/>
      <color theme="1" tint="4.9989318521683403E-2"/>
      <name val="Cambria"/>
      <family val="1"/>
    </font>
    <font>
      <u/>
      <sz val="9"/>
      <color indexed="12"/>
      <name val="Cambria"/>
      <family val="1"/>
    </font>
    <font>
      <sz val="9"/>
      <color theme="1"/>
      <name val="Cambria"/>
      <family val="1"/>
    </font>
    <font>
      <u/>
      <sz val="9"/>
      <color theme="10"/>
      <name val="Cambria"/>
      <family val="1"/>
    </font>
    <font>
      <b/>
      <sz val="9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4">
    <xf numFmtId="0" fontId="0" fillId="0" borderId="0" xfId="0"/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2" fontId="4" fillId="0" borderId="2" xfId="0" applyNumberFormat="1" applyFont="1" applyBorder="1" applyAlignment="1" applyProtection="1">
      <alignment horizontal="left" vertical="center"/>
      <protection locked="0"/>
    </xf>
    <xf numFmtId="165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165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164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165" fontId="4" fillId="0" borderId="9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 applyProtection="1">
      <alignment horizontal="center" vertical="center"/>
      <protection locked="0"/>
    </xf>
    <xf numFmtId="2" fontId="4" fillId="0" borderId="9" xfId="0" applyNumberFormat="1" applyFont="1" applyBorder="1" applyAlignment="1" applyProtection="1">
      <alignment horizontal="center" vertical="center"/>
      <protection locked="0"/>
    </xf>
    <xf numFmtId="4" fontId="4" fillId="0" borderId="9" xfId="0" applyNumberFormat="1" applyFont="1" applyBorder="1" applyAlignment="1" applyProtection="1">
      <alignment horizontal="center" vertical="center"/>
      <protection locked="0"/>
    </xf>
    <xf numFmtId="165" fontId="4" fillId="0" borderId="10" xfId="0" applyNumberFormat="1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left" vertical="center"/>
      <protection locked="0"/>
    </xf>
    <xf numFmtId="164" fontId="3" fillId="0" borderId="4" xfId="0" applyNumberFormat="1" applyFont="1" applyBorder="1" applyAlignment="1" applyProtection="1">
      <alignment horizontal="center" vertical="center"/>
      <protection locked="0"/>
    </xf>
    <xf numFmtId="2" fontId="4" fillId="0" borderId="4" xfId="0" applyNumberFormat="1" applyFont="1" applyBorder="1" applyAlignment="1" applyProtection="1">
      <alignment horizontal="left" vertical="center"/>
      <protection locked="0"/>
    </xf>
    <xf numFmtId="165" fontId="2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167" fontId="2" fillId="0" borderId="4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6" fillId="0" borderId="12" xfId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2" fontId="5" fillId="0" borderId="12" xfId="0" applyNumberFormat="1" applyFont="1" applyBorder="1" applyAlignment="1" applyProtection="1">
      <alignment horizontal="left" vertical="center"/>
      <protection locked="0"/>
    </xf>
    <xf numFmtId="165" fontId="2" fillId="0" borderId="12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 applyProtection="1">
      <alignment horizontal="center" vertical="center"/>
      <protection locked="0"/>
    </xf>
    <xf numFmtId="167" fontId="3" fillId="0" borderId="12" xfId="0" applyNumberFormat="1" applyFont="1" applyBorder="1" applyAlignment="1" applyProtection="1">
      <alignment horizontal="center" vertical="center"/>
      <protection locked="0"/>
    </xf>
    <xf numFmtId="165" fontId="3" fillId="0" borderId="12" xfId="0" applyNumberFormat="1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49" fontId="2" fillId="0" borderId="12" xfId="0" applyNumberFormat="1" applyFont="1" applyBorder="1" applyAlignment="1" applyProtection="1">
      <alignment horizontal="left" vertical="center"/>
      <protection locked="0"/>
    </xf>
    <xf numFmtId="164" fontId="2" fillId="0" borderId="12" xfId="0" applyNumberFormat="1" applyFont="1" applyBorder="1" applyAlignment="1" applyProtection="1">
      <alignment horizontal="center" vertical="center"/>
      <protection locked="0"/>
    </xf>
    <xf numFmtId="2" fontId="2" fillId="0" borderId="12" xfId="0" applyNumberFormat="1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left" vertical="center"/>
      <protection locked="0"/>
    </xf>
    <xf numFmtId="4" fontId="2" fillId="0" borderId="12" xfId="0" applyNumberFormat="1" applyFont="1" applyBorder="1" applyAlignment="1" applyProtection="1">
      <alignment horizontal="center" vertical="center"/>
      <protection locked="0"/>
    </xf>
    <xf numFmtId="165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49" fontId="2" fillId="0" borderId="15" xfId="0" applyNumberFormat="1" applyFont="1" applyBorder="1" applyAlignment="1" applyProtection="1">
      <alignment horizontal="left" vertical="center"/>
      <protection locked="0"/>
    </xf>
    <xf numFmtId="164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2" fontId="2" fillId="0" borderId="15" xfId="0" applyNumberFormat="1" applyFont="1" applyBorder="1" applyAlignment="1" applyProtection="1">
      <alignment horizontal="center" vertical="center"/>
      <protection locked="0"/>
    </xf>
    <xf numFmtId="2" fontId="4" fillId="0" borderId="15" xfId="0" applyNumberFormat="1" applyFont="1" applyBorder="1" applyAlignment="1" applyProtection="1">
      <alignment horizontal="left" vertical="center"/>
      <protection locked="0"/>
    </xf>
    <xf numFmtId="165" fontId="2" fillId="0" borderId="15" xfId="0" applyNumberFormat="1" applyFont="1" applyBorder="1" applyAlignment="1" applyProtection="1">
      <alignment horizontal="center" vertical="center"/>
      <protection locked="0"/>
    </xf>
    <xf numFmtId="4" fontId="2" fillId="0" borderId="15" xfId="0" applyNumberFormat="1" applyFont="1" applyBorder="1" applyAlignment="1" applyProtection="1">
      <alignment horizontal="center" vertical="center"/>
      <protection locked="0"/>
    </xf>
    <xf numFmtId="165" fontId="2" fillId="0" borderId="16" xfId="0" applyNumberFormat="1" applyFont="1" applyBorder="1" applyAlignment="1" applyProtection="1">
      <alignment horizontal="center" vertical="center"/>
      <protection locked="0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165" fontId="2" fillId="0" borderId="7" xfId="0" applyNumberFormat="1" applyFont="1" applyBorder="1" applyAlignment="1" applyProtection="1">
      <alignment horizontal="center" vertical="center"/>
      <protection locked="0"/>
    </xf>
    <xf numFmtId="167" fontId="2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165" fontId="2" fillId="0" borderId="15" xfId="0" applyNumberFormat="1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7" fillId="0" borderId="0" xfId="0" applyFont="1"/>
    <xf numFmtId="0" fontId="8" fillId="0" borderId="4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/>
    <xf numFmtId="0" fontId="7" fillId="0" borderId="15" xfId="0" applyFont="1" applyBorder="1"/>
    <xf numFmtId="0" fontId="7" fillId="0" borderId="15" xfId="0" applyFont="1" applyBorder="1" applyAlignment="1">
      <alignment horizontal="left"/>
    </xf>
    <xf numFmtId="0" fontId="9" fillId="0" borderId="15" xfId="0" applyFont="1" applyBorder="1"/>
    <xf numFmtId="0" fontId="7" fillId="0" borderId="16" xfId="0" applyFont="1" applyBorder="1"/>
    <xf numFmtId="165" fontId="5" fillId="0" borderId="2" xfId="0" applyNumberFormat="1" applyFont="1" applyBorder="1" applyAlignment="1" applyProtection="1">
      <alignment horizontal="center" vertical="center"/>
      <protection locked="0"/>
    </xf>
    <xf numFmtId="165" fontId="5" fillId="0" borderId="12" xfId="0" applyNumberFormat="1" applyFont="1" applyBorder="1" applyAlignment="1" applyProtection="1">
      <alignment horizontal="center" vertical="center"/>
      <protection locked="0"/>
    </xf>
    <xf numFmtId="2" fontId="4" fillId="0" borderId="4" xfId="0" applyNumberFormat="1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2" fontId="4" fillId="0" borderId="15" xfId="0" applyNumberFormat="1" applyFont="1" applyBorder="1" applyAlignment="1" applyProtection="1">
      <alignment horizontal="center" vertical="center"/>
      <protection locked="0"/>
    </xf>
    <xf numFmtId="2" fontId="4" fillId="0" borderId="2" xfId="0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 applyProtection="1">
      <alignment horizontal="center" vertical="center"/>
      <protection locked="0"/>
    </xf>
    <xf numFmtId="165" fontId="4" fillId="0" borderId="16" xfId="0" applyNumberFormat="1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>
      <alignment vertical="center"/>
    </xf>
    <xf numFmtId="4" fontId="9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165" fontId="2" fillId="0" borderId="21" xfId="0" applyNumberFormat="1" applyFont="1" applyBorder="1" applyAlignment="1" applyProtection="1">
      <alignment horizontal="center" vertical="center"/>
      <protection locked="0"/>
    </xf>
    <xf numFmtId="165" fontId="4" fillId="0" borderId="19" xfId="0" applyNumberFormat="1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8" fillId="2" borderId="4" xfId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left" vertical="center"/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left" vertical="center"/>
      <protection locked="0"/>
    </xf>
    <xf numFmtId="166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67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5" xfId="0" applyNumberFormat="1" applyFont="1" applyFill="1" applyBorder="1" applyAlignment="1">
      <alignment horizontal="center" vertical="center"/>
    </xf>
    <xf numFmtId="165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hair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4.9989318521683403E-2"/>
        <name val="Cambria"/>
        <family val="1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border>
        <top style="hair">
          <color auto="1"/>
        </top>
      </border>
    </dxf>
    <dxf>
      <font>
        <strike val="0"/>
        <outline val="0"/>
        <shadow val="0"/>
        <vertAlign val="baseline"/>
        <sz val="9"/>
        <name val="Cambria"/>
        <family val="1"/>
        <scheme val="none"/>
      </font>
      <numFmt numFmtId="165" formatCode="&quot;$&quot;#,##0.0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338667</xdr:colOff>
      <xdr:row>12</xdr:row>
      <xdr:rowOff>177800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D62F989-49FD-4F61-8ACD-DB2CBB68E23F}"/>
            </a:ext>
          </a:extLst>
        </xdr:cNvPr>
        <xdr:cNvSpPr txBox="1"/>
      </xdr:nvSpPr>
      <xdr:spPr>
        <a:xfrm>
          <a:off x="3104727" y="132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E" sz="1100"/>
        </a:p>
      </xdr:txBody>
    </xdr:sp>
    <xdr:clientData/>
  </xdr:oneCellAnchor>
  <xdr:oneCellAnchor>
    <xdr:from>
      <xdr:col>2</xdr:col>
      <xdr:colOff>338667</xdr:colOff>
      <xdr:row>1</xdr:row>
      <xdr:rowOff>177800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E22A42D-DB48-4074-9319-D26C1FD8C49A}"/>
            </a:ext>
          </a:extLst>
        </xdr:cNvPr>
        <xdr:cNvSpPr txBox="1"/>
      </xdr:nvSpPr>
      <xdr:spPr>
        <a:xfrm>
          <a:off x="3104727" y="365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E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647CB7-EC5C-4C8C-A93A-8DE8CD185632}" name="Table1" displayName="Table1" ref="A4:T46" totalsRowCount="1" headerRowDxfId="45" dataDxfId="43" totalsRowDxfId="41" headerRowBorderDxfId="44" tableBorderDxfId="42" totalsRowBorderDxfId="40">
  <autoFilter ref="A4:T45" xr:uid="{07647CB7-EC5C-4C8C-A93A-8DE8CD185632}"/>
  <tableColumns count="20">
    <tableColumn id="1" xr3:uid="{A962C923-9CE8-4EA4-86BA-3A610E28B9EE}" name="Sr" totalsRowFunction="count" dataDxfId="39" totalsRowDxfId="19"/>
    <tableColumn id="2" xr3:uid="{109DB96A-2BBC-43F3-A1AC-A24963A9E4AC}" name="ITEM" dataDxfId="38" totalsRowDxfId="18"/>
    <tableColumn id="3" xr3:uid="{EA6CC65F-E1D8-4D48-A772-23208D500013}" name="LAB" dataDxfId="37" totalsRowDxfId="17"/>
    <tableColumn id="4" xr3:uid="{339A6AC7-7724-465D-884A-08EAFAAFC4D5}" name="Cert Number" dataDxfId="36" totalsRowDxfId="16"/>
    <tableColumn id="5" xr3:uid="{34A70DB3-5211-4232-9C32-B131576FB894}" name="Size Avg." dataDxfId="35" totalsRowDxfId="15"/>
    <tableColumn id="6" xr3:uid="{F0EEB824-3339-4697-A54F-0551D662689F}" name="Avg Pts" dataDxfId="34" totalsRowDxfId="14">
      <calculatedColumnFormula>H5/G5</calculatedColumnFormula>
    </tableColumn>
    <tableColumn id="7" xr3:uid="{9CE8A890-681E-4400-96F4-E57CB317709B}" name="No.Pcs" totalsRowFunction="sum" dataDxfId="33" totalsRowDxfId="13"/>
    <tableColumn id="8" xr3:uid="{E8C31975-9EBD-4BF1-9475-F40A22AE02DE}" name="Diam Cts" totalsRowFunction="sum" dataDxfId="32" totalsRowDxfId="12"/>
    <tableColumn id="9" xr3:uid="{7EFCB22B-A2AF-4FCA-856E-DC34701CC1ED}" name="Col - Clarity" dataDxfId="31" totalsRowDxfId="11"/>
    <tableColumn id="10" xr3:uid="{1F3BCF18-70D7-4FEB-92C5-D682673781E2}" name="LOT" dataDxfId="30" totalsRowDxfId="10"/>
    <tableColumn id="11" xr3:uid="{4536AC31-1F61-484B-ADA5-601878F0C9B9}" name="Per/ct" dataDxfId="29" totalsRowDxfId="9"/>
    <tableColumn id="12" xr3:uid="{D405E160-9815-4EDC-9BF0-117164D93B2A}" name="Diam Total" totalsRowFunction="sum" dataDxfId="28" totalsRowDxfId="8">
      <calculatedColumnFormula>K5*H5</calculatedColumnFormula>
    </tableColumn>
    <tableColumn id="13" xr3:uid="{B9449A18-750D-4EFE-95B3-F4088D3F55B9}" name="Gold+Lab" dataDxfId="27" totalsRowDxfId="7"/>
    <tableColumn id="14" xr3:uid="{1A226B69-0CE8-49A6-9E27-9F44955E9C9D}" name="Gross Gm" totalsRowFunction="sum" dataDxfId="26" totalsRowDxfId="6"/>
    <tableColumn id="15" xr3:uid="{E6347230-6A81-4A1B-BA9A-34232CFC133E}" name="Net Gm" totalsRowFunction="sum" dataDxfId="25" totalsRowDxfId="5"/>
    <tableColumn id="16" xr3:uid="{D9A893F8-2672-4162-B265-CE81EF8FB7EA}" name="Gold Total" totalsRowFunction="sum" dataDxfId="24" totalsRowDxfId="4"/>
    <tableColumn id="17" xr3:uid="{76E9966E-6170-49FE-8A90-8074372CAD29}" name="Diam Settg" totalsRowFunction="sum" dataDxfId="23" totalsRowDxfId="3"/>
    <tableColumn id="18" xr3:uid="{BAC0140C-6F6C-4F6F-9AE4-2A657E10FE95}" name="Cert Exp" totalsRowFunction="sum" dataDxfId="22" totalsRowDxfId="2"/>
    <tableColumn id="19" xr3:uid="{EB28BF89-8344-43A6-B6B4-BD5B0C8EAF8F}" name="Total Amt $" totalsRowFunction="sum" dataDxfId="21" totalsRowDxfId="1"/>
    <tableColumn id="20" xr3:uid="{D5E701BA-7C63-49F0-85E8-13AFFD4B796D}" name="Comm" dataDxfId="20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ntonia.aspgulf.net/certificate/J250000130904%2018.71ct-90pcs.pdf" TargetMode="External"/><Relationship Id="rId3" Type="http://schemas.openxmlformats.org/officeDocument/2006/relationships/hyperlink" Target="https://antonia.aspgulf.net/certificate/J250000112877%2012.03ct.pdf" TargetMode="External"/><Relationship Id="rId7" Type="http://schemas.openxmlformats.org/officeDocument/2006/relationships/hyperlink" Target="https://antonia.aspgulf.net/certificate/J250000161742%20149pcs-13.98ct.pdf" TargetMode="External"/><Relationship Id="rId2" Type="http://schemas.openxmlformats.org/officeDocument/2006/relationships/hyperlink" Target="https://antonia.aspgulf.net/certificate/J250000040440%20EF%20VVS-VS%2010.90ct.pdf" TargetMode="External"/><Relationship Id="rId1" Type="http://schemas.openxmlformats.org/officeDocument/2006/relationships/hyperlink" Target="https://antonia.aspgulf.net/certificate/J250000089670-45pcs-8.72ct.pdf" TargetMode="External"/><Relationship Id="rId6" Type="http://schemas.openxmlformats.org/officeDocument/2006/relationships/hyperlink" Target="https://antonia.aspgulf.net/certificate/J250000119837%2011.13ct%20EF%20VS-SI.pdf" TargetMode="External"/><Relationship Id="rId11" Type="http://schemas.openxmlformats.org/officeDocument/2006/relationships/table" Target="../tables/table1.xml"/><Relationship Id="rId5" Type="http://schemas.openxmlformats.org/officeDocument/2006/relationships/hyperlink" Target="https://antonia.aspgulf.net/certificate/J240000105224%20EF%20VS-SI%2017.43ct%20Nks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antonia.aspgulf.net/certificate/J240000112197%20FG%20SI%2016.52ct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750F5-EDB8-4D22-AD4C-F02199EE9846}">
  <dimension ref="A2:T49"/>
  <sheetViews>
    <sheetView tabSelected="1" topLeftCell="A3" zoomScaleNormal="100" workbookViewId="0">
      <selection activeCell="M36" sqref="M36"/>
    </sheetView>
  </sheetViews>
  <sheetFormatPr defaultRowHeight="16.05" customHeight="1" x14ac:dyDescent="0.2"/>
  <cols>
    <col min="1" max="1" width="4.6640625" style="82" customWidth="1"/>
    <col min="2" max="2" width="25.44140625" style="82" customWidth="1"/>
    <col min="3" max="3" width="6" style="82" customWidth="1"/>
    <col min="4" max="4" width="13.6640625" style="82" bestFit="1" customWidth="1"/>
    <col min="5" max="5" width="8" style="82" customWidth="1"/>
    <col min="6" max="6" width="7.21875" style="82" customWidth="1"/>
    <col min="7" max="7" width="5.5546875" style="82" customWidth="1"/>
    <col min="8" max="8" width="7.6640625" style="82" customWidth="1"/>
    <col min="9" max="9" width="9.77734375" style="82" customWidth="1"/>
    <col min="10" max="10" width="6.77734375" style="82" customWidth="1"/>
    <col min="11" max="11" width="7.88671875" style="82" customWidth="1"/>
    <col min="12" max="12" width="9.88671875" style="82" customWidth="1"/>
    <col min="13" max="13" width="7.5546875" style="82" customWidth="1"/>
    <col min="14" max="14" width="6.77734375" style="82" customWidth="1"/>
    <col min="15" max="15" width="7.109375" style="82" customWidth="1"/>
    <col min="16" max="16" width="9.88671875" style="82" customWidth="1"/>
    <col min="17" max="17" width="8" style="82" customWidth="1"/>
    <col min="18" max="18" width="9.33203125" style="82" customWidth="1"/>
    <col min="19" max="19" width="10.6640625" style="82" bestFit="1" customWidth="1"/>
    <col min="20" max="20" width="10.88671875" style="82" bestFit="1" customWidth="1"/>
    <col min="21" max="16384" width="8.88671875" style="82"/>
  </cols>
  <sheetData>
    <row r="2" spans="1:20" ht="16.05" customHeight="1" x14ac:dyDescent="0.2">
      <c r="A2" s="122" t="s">
        <v>87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0" s="101" customFormat="1" ht="16.05" customHeight="1" x14ac:dyDescent="0.3">
      <c r="A3" s="123" t="s">
        <v>86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20" ht="16.05" customHeight="1" x14ac:dyDescent="0.2">
      <c r="A4" s="19" t="s">
        <v>0</v>
      </c>
      <c r="B4" s="20" t="s">
        <v>1</v>
      </c>
      <c r="C4" s="21" t="s">
        <v>2</v>
      </c>
      <c r="D4" s="21" t="s">
        <v>3</v>
      </c>
      <c r="E4" s="22" t="s">
        <v>6</v>
      </c>
      <c r="F4" s="23" t="s">
        <v>7</v>
      </c>
      <c r="G4" s="21" t="s">
        <v>8</v>
      </c>
      <c r="H4" s="21" t="s">
        <v>9</v>
      </c>
      <c r="I4" s="24" t="s">
        <v>10</v>
      </c>
      <c r="J4" s="21" t="s">
        <v>13</v>
      </c>
      <c r="K4" s="21" t="s">
        <v>14</v>
      </c>
      <c r="L4" s="25" t="s">
        <v>15</v>
      </c>
      <c r="M4" s="26" t="s">
        <v>16</v>
      </c>
      <c r="N4" s="27" t="s">
        <v>17</v>
      </c>
      <c r="O4" s="28" t="s">
        <v>18</v>
      </c>
      <c r="P4" s="25" t="s">
        <v>19</v>
      </c>
      <c r="Q4" s="25" t="s">
        <v>20</v>
      </c>
      <c r="R4" s="26" t="s">
        <v>21</v>
      </c>
      <c r="S4" s="29" t="s">
        <v>83</v>
      </c>
      <c r="T4" s="105" t="s">
        <v>89</v>
      </c>
    </row>
    <row r="5" spans="1:20" ht="16.05" customHeight="1" x14ac:dyDescent="0.2">
      <c r="A5" s="107">
        <v>1</v>
      </c>
      <c r="B5" s="108" t="s">
        <v>82</v>
      </c>
      <c r="C5" s="109" t="s">
        <v>4</v>
      </c>
      <c r="D5" s="110" t="s">
        <v>5</v>
      </c>
      <c r="E5" s="111" t="s">
        <v>11</v>
      </c>
      <c r="F5" s="112">
        <f>H5/G5</f>
        <v>0.1937777777777778</v>
      </c>
      <c r="G5" s="110">
        <v>45</v>
      </c>
      <c r="H5" s="110">
        <v>8.7200000000000006</v>
      </c>
      <c r="I5" s="113" t="s">
        <v>12</v>
      </c>
      <c r="J5" s="110" t="s">
        <v>22</v>
      </c>
      <c r="K5" s="114">
        <v>575</v>
      </c>
      <c r="L5" s="115">
        <f>K5*H5</f>
        <v>5014</v>
      </c>
      <c r="M5" s="116">
        <v>123</v>
      </c>
      <c r="N5" s="117">
        <v>10.86</v>
      </c>
      <c r="O5" s="118">
        <v>9.1159999999999997</v>
      </c>
      <c r="P5" s="115">
        <f>O5*M5</f>
        <v>1121.268</v>
      </c>
      <c r="Q5" s="115">
        <v>49</v>
      </c>
      <c r="R5" s="116">
        <f>19.5*H5</f>
        <v>170.04000000000002</v>
      </c>
      <c r="S5" s="119">
        <f>R5+Q5+P5+L5</f>
        <v>6354.308</v>
      </c>
      <c r="T5" s="120" t="s">
        <v>90</v>
      </c>
    </row>
    <row r="6" spans="1:20" ht="16.05" customHeight="1" x14ac:dyDescent="0.2">
      <c r="A6" s="39">
        <v>2</v>
      </c>
      <c r="B6" s="3" t="s">
        <v>82</v>
      </c>
      <c r="C6" s="84" t="s">
        <v>4</v>
      </c>
      <c r="D6" s="11" t="s">
        <v>23</v>
      </c>
      <c r="E6" s="12" t="s">
        <v>24</v>
      </c>
      <c r="F6" s="6">
        <f>H6/G6</f>
        <v>0.25348837209302327</v>
      </c>
      <c r="G6" s="13">
        <v>43</v>
      </c>
      <c r="H6" s="14">
        <v>10.9</v>
      </c>
      <c r="I6" s="15" t="s">
        <v>25</v>
      </c>
      <c r="J6" s="11" t="s">
        <v>26</v>
      </c>
      <c r="K6" s="90">
        <v>675</v>
      </c>
      <c r="L6" s="8">
        <f>K6*H6</f>
        <v>7357.5</v>
      </c>
      <c r="M6" s="9">
        <v>123</v>
      </c>
      <c r="N6" s="14">
        <v>12.37</v>
      </c>
      <c r="O6" s="6">
        <v>10.19</v>
      </c>
      <c r="P6" s="8">
        <f>O6*M6</f>
        <v>1253.3699999999999</v>
      </c>
      <c r="Q6" s="16">
        <v>49.72</v>
      </c>
      <c r="R6" s="9">
        <f>19.5*H6</f>
        <v>212.55</v>
      </c>
      <c r="S6" s="97">
        <f>R6+Q6+P6+L6</f>
        <v>8873.14</v>
      </c>
      <c r="T6" s="9"/>
    </row>
    <row r="7" spans="1:20" ht="16.05" customHeight="1" x14ac:dyDescent="0.2">
      <c r="A7" s="39">
        <v>3</v>
      </c>
      <c r="B7" s="3" t="s">
        <v>82</v>
      </c>
      <c r="C7" s="84" t="s">
        <v>4</v>
      </c>
      <c r="D7" s="11" t="s">
        <v>27</v>
      </c>
      <c r="E7" s="12" t="s">
        <v>28</v>
      </c>
      <c r="F7" s="6">
        <f>H7/G7</f>
        <v>0.30846153846153845</v>
      </c>
      <c r="G7" s="11">
        <v>39</v>
      </c>
      <c r="H7" s="4">
        <v>12.03</v>
      </c>
      <c r="I7" s="7" t="s">
        <v>12</v>
      </c>
      <c r="J7" s="11" t="s">
        <v>29</v>
      </c>
      <c r="K7" s="90">
        <v>615</v>
      </c>
      <c r="L7" s="8">
        <f>K7*H7</f>
        <v>7398.45</v>
      </c>
      <c r="M7" s="9">
        <v>123</v>
      </c>
      <c r="N7" s="11">
        <v>14.05</v>
      </c>
      <c r="O7" s="6">
        <v>11.644</v>
      </c>
      <c r="P7" s="8">
        <f>O7*M7</f>
        <v>1432.212</v>
      </c>
      <c r="Q7" s="16">
        <v>44.56</v>
      </c>
      <c r="R7" s="9">
        <f>19.5*H7</f>
        <v>234.58499999999998</v>
      </c>
      <c r="S7" s="97">
        <f>R7+Q7+P7+L7</f>
        <v>9109.8070000000007</v>
      </c>
      <c r="T7" s="9"/>
    </row>
    <row r="8" spans="1:20" ht="16.05" customHeight="1" x14ac:dyDescent="0.2">
      <c r="A8" s="40">
        <v>4</v>
      </c>
      <c r="B8" s="41" t="s">
        <v>82</v>
      </c>
      <c r="C8" s="42" t="s">
        <v>4</v>
      </c>
      <c r="D8" s="43" t="s">
        <v>30</v>
      </c>
      <c r="E8" s="44" t="s">
        <v>31</v>
      </c>
      <c r="F8" s="45">
        <f>H8/G8</f>
        <v>0.4588888888888889</v>
      </c>
      <c r="G8" s="46">
        <v>36</v>
      </c>
      <c r="H8" s="43">
        <v>16.52</v>
      </c>
      <c r="I8" s="47" t="s">
        <v>32</v>
      </c>
      <c r="J8" s="46" t="s">
        <v>33</v>
      </c>
      <c r="K8" s="91">
        <v>725</v>
      </c>
      <c r="L8" s="48">
        <f>K8*H8</f>
        <v>11977</v>
      </c>
      <c r="M8" s="49">
        <v>123</v>
      </c>
      <c r="N8" s="45">
        <v>14.58</v>
      </c>
      <c r="O8" s="50">
        <v>11.276</v>
      </c>
      <c r="P8" s="48">
        <f>O8*M8</f>
        <v>1386.9479999999999</v>
      </c>
      <c r="Q8" s="51">
        <v>45</v>
      </c>
      <c r="R8" s="49">
        <f>19.5*H8</f>
        <v>322.14</v>
      </c>
      <c r="S8" s="98">
        <f>R8+Q8+P8+L8</f>
        <v>13731.088</v>
      </c>
      <c r="T8" s="9"/>
    </row>
    <row r="9" spans="1:20" ht="16.05" customHeight="1" x14ac:dyDescent="0.2">
      <c r="A9" s="85"/>
      <c r="B9" s="86"/>
      <c r="C9" s="86"/>
      <c r="D9" s="86"/>
      <c r="E9" s="87"/>
      <c r="F9" s="86"/>
      <c r="G9" s="86"/>
      <c r="H9" s="86"/>
      <c r="I9" s="88"/>
      <c r="J9" s="86"/>
      <c r="K9" s="88"/>
      <c r="L9" s="86"/>
      <c r="M9" s="86"/>
      <c r="N9" s="86"/>
      <c r="O9" s="86"/>
      <c r="P9" s="86"/>
      <c r="Q9" s="86"/>
      <c r="R9" s="86"/>
      <c r="S9" s="89"/>
      <c r="T9" s="9"/>
    </row>
    <row r="10" spans="1:20" ht="16.05" customHeight="1" x14ac:dyDescent="0.2">
      <c r="A10" s="30">
        <v>5</v>
      </c>
      <c r="B10" s="52" t="s">
        <v>35</v>
      </c>
      <c r="C10" s="53" t="s">
        <v>4</v>
      </c>
      <c r="D10" s="52" t="s">
        <v>36</v>
      </c>
      <c r="E10" s="32" t="s">
        <v>28</v>
      </c>
      <c r="F10" s="33">
        <f>H10/G10</f>
        <v>0.31690909090909092</v>
      </c>
      <c r="G10" s="31">
        <v>55</v>
      </c>
      <c r="H10" s="37">
        <v>17.43</v>
      </c>
      <c r="I10" s="34" t="s">
        <v>38</v>
      </c>
      <c r="J10" s="31" t="s">
        <v>39</v>
      </c>
      <c r="K10" s="92">
        <v>650</v>
      </c>
      <c r="L10" s="35">
        <f>K10*H10</f>
        <v>11329.5</v>
      </c>
      <c r="M10" s="36">
        <v>108</v>
      </c>
      <c r="N10" s="37">
        <v>27.95</v>
      </c>
      <c r="O10" s="38">
        <v>24.463999999999999</v>
      </c>
      <c r="P10" s="35">
        <f>O10*M10</f>
        <v>2642.1120000000001</v>
      </c>
      <c r="Q10" s="36">
        <v>500</v>
      </c>
      <c r="R10" s="36">
        <f>19.5*H10</f>
        <v>339.88499999999999</v>
      </c>
      <c r="S10" s="96">
        <f>R10+Q10+P10+L10</f>
        <v>14811.496999999999</v>
      </c>
      <c r="T10" s="9"/>
    </row>
    <row r="11" spans="1:20" ht="16.05" customHeight="1" x14ac:dyDescent="0.2">
      <c r="A11" s="54"/>
      <c r="B11" s="81" t="s">
        <v>37</v>
      </c>
      <c r="C11" s="55"/>
      <c r="D11" s="55"/>
      <c r="E11" s="56"/>
      <c r="F11" s="57"/>
      <c r="G11" s="43"/>
      <c r="H11" s="58"/>
      <c r="I11" s="59"/>
      <c r="J11" s="43"/>
      <c r="K11" s="93"/>
      <c r="L11" s="49"/>
      <c r="M11" s="49"/>
      <c r="N11" s="58"/>
      <c r="O11" s="60"/>
      <c r="P11" s="49"/>
      <c r="Q11" s="49"/>
      <c r="R11" s="49"/>
      <c r="S11" s="61"/>
      <c r="T11" s="9"/>
    </row>
    <row r="12" spans="1:20" ht="16.05" customHeight="1" x14ac:dyDescent="0.2">
      <c r="A12" s="62"/>
      <c r="B12" s="63"/>
      <c r="C12" s="63"/>
      <c r="D12" s="63"/>
      <c r="E12" s="64"/>
      <c r="F12" s="65"/>
      <c r="G12" s="66"/>
      <c r="H12" s="67"/>
      <c r="I12" s="68"/>
      <c r="J12" s="66"/>
      <c r="K12" s="94"/>
      <c r="L12" s="69"/>
      <c r="M12" s="69"/>
      <c r="N12" s="67"/>
      <c r="O12" s="70"/>
      <c r="P12" s="69"/>
      <c r="Q12" s="69"/>
      <c r="R12" s="69"/>
      <c r="S12" s="71"/>
      <c r="T12" s="9"/>
    </row>
    <row r="13" spans="1:20" ht="16.05" customHeight="1" x14ac:dyDescent="0.2">
      <c r="A13" s="30">
        <v>6</v>
      </c>
      <c r="B13" s="52" t="s">
        <v>40</v>
      </c>
      <c r="C13" s="83" t="s">
        <v>4</v>
      </c>
      <c r="D13" s="52" t="s">
        <v>41</v>
      </c>
      <c r="E13" s="32" t="s">
        <v>44</v>
      </c>
      <c r="F13" s="33">
        <f t="shared" ref="F13:F45" si="0">H13/G13</f>
        <v>1</v>
      </c>
      <c r="G13" s="31">
        <v>1</v>
      </c>
      <c r="H13" s="37">
        <v>1</v>
      </c>
      <c r="I13" s="34" t="s">
        <v>45</v>
      </c>
      <c r="J13" s="31" t="s">
        <v>51</v>
      </c>
      <c r="K13" s="92">
        <v>1700</v>
      </c>
      <c r="L13" s="35">
        <f t="shared" ref="L13:L45" si="1">K13*H13</f>
        <v>1700</v>
      </c>
      <c r="M13" s="36"/>
      <c r="N13" s="37"/>
      <c r="O13" s="72"/>
      <c r="P13" s="36"/>
      <c r="Q13" s="36"/>
      <c r="R13" s="36"/>
      <c r="S13" s="73"/>
      <c r="T13" s="9"/>
    </row>
    <row r="14" spans="1:20" ht="16.05" customHeight="1" x14ac:dyDescent="0.2">
      <c r="A14" s="74"/>
      <c r="B14" s="80" t="s">
        <v>42</v>
      </c>
      <c r="C14" s="17"/>
      <c r="D14" s="17"/>
      <c r="E14" s="5" t="s">
        <v>46</v>
      </c>
      <c r="F14" s="6">
        <f t="shared" si="0"/>
        <v>0.505</v>
      </c>
      <c r="G14" s="4">
        <v>2</v>
      </c>
      <c r="H14" s="10">
        <v>1.01</v>
      </c>
      <c r="I14" s="7"/>
      <c r="J14" s="4" t="s">
        <v>52</v>
      </c>
      <c r="K14" s="95">
        <v>850</v>
      </c>
      <c r="L14" s="8">
        <f t="shared" si="1"/>
        <v>858.5</v>
      </c>
      <c r="M14" s="9"/>
      <c r="N14" s="10"/>
      <c r="O14" s="18"/>
      <c r="P14" s="9"/>
      <c r="Q14" s="9"/>
      <c r="R14" s="9"/>
      <c r="S14" s="75"/>
      <c r="T14" s="9"/>
    </row>
    <row r="15" spans="1:20" ht="16.05" customHeight="1" x14ac:dyDescent="0.2">
      <c r="A15" s="74"/>
      <c r="B15" s="17" t="s">
        <v>43</v>
      </c>
      <c r="C15" s="17"/>
      <c r="D15" s="17"/>
      <c r="E15" s="5" t="s">
        <v>31</v>
      </c>
      <c r="F15" s="6">
        <f t="shared" si="0"/>
        <v>0.46</v>
      </c>
      <c r="G15" s="4">
        <v>2</v>
      </c>
      <c r="H15" s="10">
        <v>0.92</v>
      </c>
      <c r="I15" s="7"/>
      <c r="J15" s="4" t="s">
        <v>53</v>
      </c>
      <c r="K15" s="95">
        <v>775</v>
      </c>
      <c r="L15" s="8">
        <f t="shared" si="1"/>
        <v>713</v>
      </c>
      <c r="M15" s="9"/>
      <c r="N15" s="10"/>
      <c r="O15" s="18"/>
      <c r="P15" s="9"/>
      <c r="Q15" s="9"/>
      <c r="R15" s="9"/>
      <c r="S15" s="75"/>
      <c r="T15" s="9"/>
    </row>
    <row r="16" spans="1:20" ht="16.05" customHeight="1" x14ac:dyDescent="0.2">
      <c r="A16" s="74"/>
      <c r="B16" s="17"/>
      <c r="C16" s="17"/>
      <c r="D16" s="17"/>
      <c r="E16" s="5" t="s">
        <v>28</v>
      </c>
      <c r="F16" s="6">
        <f t="shared" si="0"/>
        <v>0.31</v>
      </c>
      <c r="G16" s="4">
        <v>10</v>
      </c>
      <c r="H16" s="10">
        <v>3.1</v>
      </c>
      <c r="I16" s="7"/>
      <c r="J16" s="4" t="s">
        <v>54</v>
      </c>
      <c r="K16" s="95">
        <v>650</v>
      </c>
      <c r="L16" s="8">
        <f t="shared" si="1"/>
        <v>2015</v>
      </c>
      <c r="M16" s="9"/>
      <c r="N16" s="10"/>
      <c r="O16" s="18"/>
      <c r="P16" s="9"/>
      <c r="Q16" s="9"/>
      <c r="R16" s="9"/>
      <c r="S16" s="75"/>
      <c r="T16" s="9"/>
    </row>
    <row r="17" spans="1:20" ht="16.05" customHeight="1" x14ac:dyDescent="0.2">
      <c r="A17" s="74"/>
      <c r="B17" s="17"/>
      <c r="C17" s="17"/>
      <c r="D17" s="17"/>
      <c r="E17" s="5" t="s">
        <v>24</v>
      </c>
      <c r="F17" s="6">
        <f t="shared" si="0"/>
        <v>0.22999999999999993</v>
      </c>
      <c r="G17" s="4">
        <v>2</v>
      </c>
      <c r="H17" s="10">
        <v>0.45999999999999985</v>
      </c>
      <c r="I17" s="7"/>
      <c r="J17" s="4" t="s">
        <v>55</v>
      </c>
      <c r="K17" s="95">
        <v>650</v>
      </c>
      <c r="L17" s="8">
        <f t="shared" si="1"/>
        <v>298.99999999999989</v>
      </c>
      <c r="M17" s="9"/>
      <c r="N17" s="10"/>
      <c r="O17" s="18"/>
      <c r="P17" s="9"/>
      <c r="Q17" s="9"/>
      <c r="R17" s="9"/>
      <c r="S17" s="75"/>
      <c r="T17" s="9"/>
    </row>
    <row r="18" spans="1:20" ht="16.05" customHeight="1" x14ac:dyDescent="0.2">
      <c r="A18" s="74"/>
      <c r="B18" s="17"/>
      <c r="C18" s="17"/>
      <c r="D18" s="17"/>
      <c r="E18" s="5" t="s">
        <v>11</v>
      </c>
      <c r="F18" s="6">
        <f t="shared" si="0"/>
        <v>0.185</v>
      </c>
      <c r="G18" s="4">
        <v>4</v>
      </c>
      <c r="H18" s="10">
        <v>0.74</v>
      </c>
      <c r="I18" s="7"/>
      <c r="J18" s="4" t="s">
        <v>22</v>
      </c>
      <c r="K18" s="95">
        <v>575</v>
      </c>
      <c r="L18" s="8">
        <f t="shared" si="1"/>
        <v>425.5</v>
      </c>
      <c r="M18" s="9"/>
      <c r="N18" s="10"/>
      <c r="O18" s="18"/>
      <c r="P18" s="9"/>
      <c r="Q18" s="9"/>
      <c r="R18" s="9"/>
      <c r="S18" s="75"/>
      <c r="T18" s="9"/>
    </row>
    <row r="19" spans="1:20" ht="16.05" customHeight="1" x14ac:dyDescent="0.2">
      <c r="A19" s="74"/>
      <c r="B19" s="17"/>
      <c r="C19" s="17"/>
      <c r="D19" s="17"/>
      <c r="E19" s="5" t="s">
        <v>47</v>
      </c>
      <c r="F19" s="6">
        <f t="shared" si="0"/>
        <v>0.11499999999999999</v>
      </c>
      <c r="G19" s="4">
        <v>10</v>
      </c>
      <c r="H19" s="10">
        <v>1.1499999999999999</v>
      </c>
      <c r="I19" s="7"/>
      <c r="J19" s="4" t="s">
        <v>56</v>
      </c>
      <c r="K19" s="95">
        <v>525</v>
      </c>
      <c r="L19" s="8">
        <f t="shared" si="1"/>
        <v>603.75</v>
      </c>
      <c r="M19" s="9"/>
      <c r="N19" s="10"/>
      <c r="O19" s="18"/>
      <c r="P19" s="9"/>
      <c r="Q19" s="9"/>
      <c r="R19" s="9"/>
      <c r="S19" s="75"/>
      <c r="T19" s="9"/>
    </row>
    <row r="20" spans="1:20" ht="16.05" customHeight="1" x14ac:dyDescent="0.2">
      <c r="A20" s="74"/>
      <c r="B20" s="17"/>
      <c r="C20" s="17"/>
      <c r="D20" s="17"/>
      <c r="E20" s="5" t="s">
        <v>48</v>
      </c>
      <c r="F20" s="6">
        <f t="shared" si="0"/>
        <v>9.2500000000000013E-2</v>
      </c>
      <c r="G20" s="4">
        <v>4</v>
      </c>
      <c r="H20" s="10">
        <v>0.37000000000000005</v>
      </c>
      <c r="I20" s="7"/>
      <c r="J20" s="4" t="s">
        <v>56</v>
      </c>
      <c r="K20" s="95">
        <v>525</v>
      </c>
      <c r="L20" s="8">
        <f t="shared" si="1"/>
        <v>194.25000000000003</v>
      </c>
      <c r="M20" s="9"/>
      <c r="N20" s="10"/>
      <c r="O20" s="18"/>
      <c r="P20" s="9"/>
      <c r="Q20" s="9"/>
      <c r="R20" s="9"/>
      <c r="S20" s="75"/>
      <c r="T20" s="9"/>
    </row>
    <row r="21" spans="1:20" ht="16.05" customHeight="1" x14ac:dyDescent="0.2">
      <c r="A21" s="74"/>
      <c r="B21" s="17"/>
      <c r="C21" s="17"/>
      <c r="D21" s="17"/>
      <c r="E21" s="5" t="s">
        <v>49</v>
      </c>
      <c r="F21" s="6">
        <f t="shared" si="0"/>
        <v>4.409090909090909E-2</v>
      </c>
      <c r="G21" s="4">
        <v>22</v>
      </c>
      <c r="H21" s="10">
        <v>0.97</v>
      </c>
      <c r="I21" s="7"/>
      <c r="J21" s="4" t="s">
        <v>57</v>
      </c>
      <c r="K21" s="95">
        <v>475</v>
      </c>
      <c r="L21" s="8">
        <f t="shared" si="1"/>
        <v>460.75</v>
      </c>
      <c r="M21" s="9"/>
      <c r="N21" s="10"/>
      <c r="O21" s="18"/>
      <c r="P21" s="9"/>
      <c r="Q21" s="9"/>
      <c r="R21" s="9"/>
      <c r="S21" s="75"/>
      <c r="T21" s="9"/>
    </row>
    <row r="22" spans="1:20" ht="16.05" customHeight="1" x14ac:dyDescent="0.2">
      <c r="A22" s="54"/>
      <c r="B22" s="55"/>
      <c r="C22" s="55"/>
      <c r="D22" s="55"/>
      <c r="E22" s="56" t="s">
        <v>50</v>
      </c>
      <c r="F22" s="45">
        <f t="shared" si="0"/>
        <v>2.7115384615384614E-2</v>
      </c>
      <c r="G22" s="43">
        <v>52</v>
      </c>
      <c r="H22" s="58">
        <v>1.41</v>
      </c>
      <c r="I22" s="59"/>
      <c r="J22" s="43" t="s">
        <v>58</v>
      </c>
      <c r="K22" s="93">
        <v>425</v>
      </c>
      <c r="L22" s="48">
        <f t="shared" si="1"/>
        <v>599.25</v>
      </c>
      <c r="M22" s="49">
        <v>108</v>
      </c>
      <c r="N22" s="58">
        <v>22.59</v>
      </c>
      <c r="O22" s="76">
        <v>20.364000000000001</v>
      </c>
      <c r="P22" s="48">
        <f>O22*M22</f>
        <v>2199.3119999999999</v>
      </c>
      <c r="Q22" s="49">
        <v>500</v>
      </c>
      <c r="R22" s="49">
        <f>19.5*11.13</f>
        <v>217.03500000000003</v>
      </c>
      <c r="S22" s="99">
        <f>R22+Q22+P22+L13+L14+L15+L16+L17+L18+L19+L20+L21+L22</f>
        <v>10785.347</v>
      </c>
      <c r="T22" s="9"/>
    </row>
    <row r="23" spans="1:20" ht="16.05" customHeight="1" x14ac:dyDescent="0.2">
      <c r="A23" s="62"/>
      <c r="B23" s="63"/>
      <c r="C23" s="63"/>
      <c r="D23" s="63"/>
      <c r="E23" s="64"/>
      <c r="F23" s="65"/>
      <c r="G23" s="66"/>
      <c r="H23" s="67"/>
      <c r="I23" s="68"/>
      <c r="J23" s="66"/>
      <c r="K23" s="94"/>
      <c r="L23" s="69"/>
      <c r="M23" s="69"/>
      <c r="N23" s="67"/>
      <c r="O23" s="70"/>
      <c r="P23" s="69"/>
      <c r="Q23" s="69"/>
      <c r="R23" s="69"/>
      <c r="S23" s="71"/>
      <c r="T23" s="9"/>
    </row>
    <row r="24" spans="1:20" ht="16.05" customHeight="1" x14ac:dyDescent="0.2">
      <c r="A24" s="30">
        <v>7</v>
      </c>
      <c r="B24" s="52" t="s">
        <v>59</v>
      </c>
      <c r="C24" s="83" t="s">
        <v>4</v>
      </c>
      <c r="D24" s="52" t="s">
        <v>60</v>
      </c>
      <c r="E24" s="32" t="s">
        <v>63</v>
      </c>
      <c r="F24" s="33">
        <f t="shared" si="0"/>
        <v>0.9</v>
      </c>
      <c r="G24" s="31">
        <v>1</v>
      </c>
      <c r="H24" s="37">
        <v>0.9</v>
      </c>
      <c r="I24" s="34" t="s">
        <v>45</v>
      </c>
      <c r="J24" s="31" t="s">
        <v>66</v>
      </c>
      <c r="K24" s="92">
        <v>1450</v>
      </c>
      <c r="L24" s="35">
        <f t="shared" si="1"/>
        <v>1305</v>
      </c>
      <c r="M24" s="36"/>
      <c r="N24" s="37"/>
      <c r="O24" s="72"/>
      <c r="P24" s="36"/>
      <c r="Q24" s="36"/>
      <c r="R24" s="36"/>
      <c r="S24" s="73"/>
      <c r="T24" s="9"/>
    </row>
    <row r="25" spans="1:20" ht="16.05" customHeight="1" x14ac:dyDescent="0.2">
      <c r="A25" s="74"/>
      <c r="B25" s="80" t="s">
        <v>61</v>
      </c>
      <c r="C25" s="17"/>
      <c r="D25" s="17"/>
      <c r="E25" s="5" t="s">
        <v>64</v>
      </c>
      <c r="F25" s="6">
        <f t="shared" si="0"/>
        <v>0.505</v>
      </c>
      <c r="G25" s="4">
        <v>2</v>
      </c>
      <c r="H25" s="10">
        <v>1.01</v>
      </c>
      <c r="I25" s="7"/>
      <c r="J25" s="4" t="s">
        <v>67</v>
      </c>
      <c r="K25" s="95">
        <v>850</v>
      </c>
      <c r="L25" s="8">
        <f t="shared" si="1"/>
        <v>858.5</v>
      </c>
      <c r="M25" s="9"/>
      <c r="N25" s="10"/>
      <c r="O25" s="18"/>
      <c r="P25" s="9"/>
      <c r="Q25" s="9"/>
      <c r="R25" s="9"/>
      <c r="S25" s="75"/>
      <c r="T25" s="9"/>
    </row>
    <row r="26" spans="1:20" ht="16.05" customHeight="1" x14ac:dyDescent="0.2">
      <c r="A26" s="74"/>
      <c r="B26" s="17" t="s">
        <v>62</v>
      </c>
      <c r="C26" s="17"/>
      <c r="D26" s="17"/>
      <c r="E26" s="5" t="s">
        <v>65</v>
      </c>
      <c r="F26" s="6">
        <f t="shared" si="0"/>
        <v>0.38250000000000001</v>
      </c>
      <c r="G26" s="4">
        <v>4</v>
      </c>
      <c r="H26" s="10">
        <v>1.53</v>
      </c>
      <c r="I26" s="7"/>
      <c r="J26" s="4" t="s">
        <v>53</v>
      </c>
      <c r="K26" s="95">
        <v>775</v>
      </c>
      <c r="L26" s="8">
        <f t="shared" si="1"/>
        <v>1185.75</v>
      </c>
      <c r="M26" s="9"/>
      <c r="N26" s="10"/>
      <c r="O26" s="18"/>
      <c r="P26" s="9"/>
      <c r="Q26" s="9"/>
      <c r="R26" s="9"/>
      <c r="S26" s="75"/>
      <c r="T26" s="9"/>
    </row>
    <row r="27" spans="1:20" ht="16.05" customHeight="1" x14ac:dyDescent="0.2">
      <c r="A27" s="74"/>
      <c r="B27" s="17"/>
      <c r="C27" s="17"/>
      <c r="D27" s="17"/>
      <c r="E27" s="5" t="s">
        <v>28</v>
      </c>
      <c r="F27" s="6">
        <f t="shared" si="0"/>
        <v>0.3125</v>
      </c>
      <c r="G27" s="4">
        <v>4</v>
      </c>
      <c r="H27" s="10">
        <v>1.25</v>
      </c>
      <c r="I27" s="7"/>
      <c r="J27" s="4" t="s">
        <v>55</v>
      </c>
      <c r="K27" s="95">
        <v>650</v>
      </c>
      <c r="L27" s="8">
        <f t="shared" si="1"/>
        <v>812.5</v>
      </c>
      <c r="M27" s="9"/>
      <c r="N27" s="10"/>
      <c r="O27" s="18"/>
      <c r="P27" s="9"/>
      <c r="Q27" s="9"/>
      <c r="R27" s="9"/>
      <c r="S27" s="75"/>
      <c r="T27" s="9"/>
    </row>
    <row r="28" spans="1:20" ht="16.05" customHeight="1" x14ac:dyDescent="0.2">
      <c r="A28" s="74"/>
      <c r="B28" s="17"/>
      <c r="C28" s="17"/>
      <c r="D28" s="17"/>
      <c r="E28" s="5" t="s">
        <v>24</v>
      </c>
      <c r="F28" s="6">
        <f t="shared" si="0"/>
        <v>0.245</v>
      </c>
      <c r="G28" s="4">
        <v>4</v>
      </c>
      <c r="H28" s="10">
        <v>0.98</v>
      </c>
      <c r="I28" s="7"/>
      <c r="J28" s="4" t="s">
        <v>68</v>
      </c>
      <c r="K28" s="95">
        <v>650</v>
      </c>
      <c r="L28" s="8">
        <f t="shared" si="1"/>
        <v>637</v>
      </c>
      <c r="M28" s="9"/>
      <c r="N28" s="10"/>
      <c r="O28" s="18"/>
      <c r="P28" s="9"/>
      <c r="Q28" s="9"/>
      <c r="R28" s="9"/>
      <c r="S28" s="75"/>
      <c r="T28" s="9"/>
    </row>
    <row r="29" spans="1:20" ht="16.05" customHeight="1" x14ac:dyDescent="0.2">
      <c r="A29" s="74"/>
      <c r="B29" s="17"/>
      <c r="C29" s="17"/>
      <c r="D29" s="17"/>
      <c r="E29" s="5" t="s">
        <v>11</v>
      </c>
      <c r="F29" s="6">
        <f t="shared" si="0"/>
        <v>0.1825</v>
      </c>
      <c r="G29" s="4">
        <v>4</v>
      </c>
      <c r="H29" s="10">
        <v>0.73</v>
      </c>
      <c r="I29" s="7"/>
      <c r="J29" s="4" t="s">
        <v>22</v>
      </c>
      <c r="K29" s="95">
        <v>575</v>
      </c>
      <c r="L29" s="8">
        <f t="shared" si="1"/>
        <v>419.75</v>
      </c>
      <c r="M29" s="9"/>
      <c r="N29" s="10"/>
      <c r="O29" s="18"/>
      <c r="P29" s="9"/>
      <c r="Q29" s="9"/>
      <c r="R29" s="9"/>
      <c r="S29" s="75"/>
      <c r="T29" s="9"/>
    </row>
    <row r="30" spans="1:20" ht="16.05" customHeight="1" x14ac:dyDescent="0.2">
      <c r="A30" s="74"/>
      <c r="B30" s="17"/>
      <c r="C30" s="17"/>
      <c r="D30" s="17"/>
      <c r="E30" s="5" t="s">
        <v>47</v>
      </c>
      <c r="F30" s="6">
        <f t="shared" si="0"/>
        <v>0.11833333333333333</v>
      </c>
      <c r="G30" s="4">
        <v>6</v>
      </c>
      <c r="H30" s="10">
        <v>0.71</v>
      </c>
      <c r="I30" s="7"/>
      <c r="J30" s="4" t="s">
        <v>56</v>
      </c>
      <c r="K30" s="95">
        <v>525</v>
      </c>
      <c r="L30" s="8">
        <f t="shared" si="1"/>
        <v>372.75</v>
      </c>
      <c r="M30" s="9"/>
      <c r="N30" s="10"/>
      <c r="O30" s="18"/>
      <c r="P30" s="9"/>
      <c r="Q30" s="9"/>
      <c r="R30" s="9"/>
      <c r="S30" s="75"/>
      <c r="T30" s="9"/>
    </row>
    <row r="31" spans="1:20" ht="16.05" customHeight="1" x14ac:dyDescent="0.2">
      <c r="A31" s="74"/>
      <c r="B31" s="17"/>
      <c r="C31" s="17"/>
      <c r="D31" s="17"/>
      <c r="E31" s="5" t="s">
        <v>48</v>
      </c>
      <c r="F31" s="6">
        <f t="shared" si="0"/>
        <v>8.2777777777777783E-2</v>
      </c>
      <c r="G31" s="4">
        <v>36</v>
      </c>
      <c r="H31" s="10">
        <v>2.98</v>
      </c>
      <c r="I31" s="7"/>
      <c r="J31" s="4" t="s">
        <v>69</v>
      </c>
      <c r="K31" s="95">
        <v>525</v>
      </c>
      <c r="L31" s="8">
        <f t="shared" si="1"/>
        <v>1564.5</v>
      </c>
      <c r="M31" s="9"/>
      <c r="N31" s="10"/>
      <c r="O31" s="18"/>
      <c r="P31" s="9"/>
      <c r="Q31" s="9"/>
      <c r="R31" s="9"/>
      <c r="S31" s="75"/>
      <c r="T31" s="9"/>
    </row>
    <row r="32" spans="1:20" ht="16.05" customHeight="1" x14ac:dyDescent="0.2">
      <c r="A32" s="74"/>
      <c r="B32" s="17"/>
      <c r="C32" s="17"/>
      <c r="D32" s="17"/>
      <c r="E32" s="5" t="s">
        <v>49</v>
      </c>
      <c r="F32" s="6">
        <f t="shared" si="0"/>
        <v>5.0327868852459011E-2</v>
      </c>
      <c r="G32" s="4">
        <v>61</v>
      </c>
      <c r="H32" s="10">
        <v>3.07</v>
      </c>
      <c r="I32" s="7"/>
      <c r="J32" s="4" t="s">
        <v>57</v>
      </c>
      <c r="K32" s="95">
        <v>475</v>
      </c>
      <c r="L32" s="8">
        <f t="shared" si="1"/>
        <v>1458.25</v>
      </c>
      <c r="M32" s="9"/>
      <c r="N32" s="10"/>
      <c r="O32" s="18"/>
      <c r="P32" s="9"/>
      <c r="Q32" s="9"/>
      <c r="R32" s="9"/>
      <c r="S32" s="75"/>
      <c r="T32" s="9"/>
    </row>
    <row r="33" spans="1:20" ht="16.05" customHeight="1" x14ac:dyDescent="0.2">
      <c r="A33" s="54"/>
      <c r="B33" s="55"/>
      <c r="C33" s="55"/>
      <c r="D33" s="55"/>
      <c r="E33" s="56" t="s">
        <v>50</v>
      </c>
      <c r="F33" s="45">
        <f t="shared" si="0"/>
        <v>3.0370370370370367E-2</v>
      </c>
      <c r="G33" s="43">
        <v>27</v>
      </c>
      <c r="H33" s="58">
        <v>0.82</v>
      </c>
      <c r="I33" s="59"/>
      <c r="J33" s="43" t="s">
        <v>58</v>
      </c>
      <c r="K33" s="93">
        <v>425</v>
      </c>
      <c r="L33" s="48">
        <f t="shared" si="1"/>
        <v>348.5</v>
      </c>
      <c r="M33" s="49">
        <v>108</v>
      </c>
      <c r="N33" s="58">
        <v>22.21</v>
      </c>
      <c r="O33" s="60">
        <v>19.420000000000002</v>
      </c>
      <c r="P33" s="48">
        <f>O33*M33</f>
        <v>2097.36</v>
      </c>
      <c r="Q33" s="49">
        <v>475</v>
      </c>
      <c r="R33" s="49">
        <f>19.5*13.98</f>
        <v>272.61</v>
      </c>
      <c r="S33" s="99">
        <f>R33+Q33+P33+L24+L25+L26+L27+L28+L29+L30+L31+L32+L33</f>
        <v>11807.470000000001</v>
      </c>
      <c r="T33" s="9"/>
    </row>
    <row r="34" spans="1:20" ht="16.05" customHeight="1" x14ac:dyDescent="0.2">
      <c r="A34" s="62"/>
      <c r="B34" s="63"/>
      <c r="C34" s="63"/>
      <c r="D34" s="63"/>
      <c r="E34" s="64"/>
      <c r="F34" s="65"/>
      <c r="G34" s="66"/>
      <c r="H34" s="67"/>
      <c r="I34" s="68"/>
      <c r="J34" s="66"/>
      <c r="K34" s="94"/>
      <c r="L34" s="69"/>
      <c r="M34" s="69"/>
      <c r="N34" s="67"/>
      <c r="O34" s="70"/>
      <c r="P34" s="69"/>
      <c r="Q34" s="69"/>
      <c r="R34" s="69"/>
      <c r="S34" s="71"/>
      <c r="T34" s="9"/>
    </row>
    <row r="35" spans="1:20" ht="16.05" customHeight="1" x14ac:dyDescent="0.2">
      <c r="A35" s="30">
        <v>8</v>
      </c>
      <c r="B35" s="52" t="s">
        <v>70</v>
      </c>
      <c r="C35" s="83" t="s">
        <v>4</v>
      </c>
      <c r="D35" s="52" t="s">
        <v>71</v>
      </c>
      <c r="E35" s="32" t="s">
        <v>44</v>
      </c>
      <c r="F35" s="33">
        <f t="shared" si="0"/>
        <v>1.03</v>
      </c>
      <c r="G35" s="31">
        <v>1</v>
      </c>
      <c r="H35" s="37">
        <v>1.03</v>
      </c>
      <c r="I35" s="34" t="s">
        <v>73</v>
      </c>
      <c r="J35" s="31" t="s">
        <v>76</v>
      </c>
      <c r="K35" s="92">
        <v>1700</v>
      </c>
      <c r="L35" s="35">
        <f t="shared" si="1"/>
        <v>1751</v>
      </c>
      <c r="M35" s="36"/>
      <c r="N35" s="37"/>
      <c r="O35" s="72"/>
      <c r="P35" s="36"/>
      <c r="Q35" s="36"/>
      <c r="R35" s="36"/>
      <c r="S35" s="73"/>
      <c r="T35" s="9"/>
    </row>
    <row r="36" spans="1:20" ht="16.05" customHeight="1" x14ac:dyDescent="0.2">
      <c r="A36" s="74"/>
      <c r="B36" s="80" t="s">
        <v>72</v>
      </c>
      <c r="C36" s="17"/>
      <c r="D36" s="17"/>
      <c r="E36" s="5" t="s">
        <v>64</v>
      </c>
      <c r="F36" s="6">
        <f t="shared" si="0"/>
        <v>0.58333333333333337</v>
      </c>
      <c r="G36" s="4">
        <v>3</v>
      </c>
      <c r="H36" s="10">
        <v>1.75</v>
      </c>
      <c r="I36" s="7"/>
      <c r="J36" s="4" t="s">
        <v>77</v>
      </c>
      <c r="K36" s="95">
        <v>850</v>
      </c>
      <c r="L36" s="8">
        <f t="shared" si="1"/>
        <v>1487.5</v>
      </c>
      <c r="M36" s="9"/>
      <c r="N36" s="10"/>
      <c r="O36" s="18"/>
      <c r="P36" s="9"/>
      <c r="Q36" s="9"/>
      <c r="R36" s="9"/>
      <c r="S36" s="75"/>
      <c r="T36" s="9"/>
    </row>
    <row r="37" spans="1:20" ht="16.05" customHeight="1" x14ac:dyDescent="0.2">
      <c r="A37" s="74"/>
      <c r="B37" s="17"/>
      <c r="C37" s="17"/>
      <c r="D37" s="17"/>
      <c r="E37" s="5" t="s">
        <v>31</v>
      </c>
      <c r="F37" s="6">
        <f t="shared" si="0"/>
        <v>0.45333333333333337</v>
      </c>
      <c r="G37" s="4">
        <v>3</v>
      </c>
      <c r="H37" s="10">
        <v>1.36</v>
      </c>
      <c r="I37" s="7"/>
      <c r="J37" s="4" t="s">
        <v>53</v>
      </c>
      <c r="K37" s="95">
        <v>775</v>
      </c>
      <c r="L37" s="8">
        <f t="shared" si="1"/>
        <v>1054</v>
      </c>
      <c r="M37" s="9"/>
      <c r="N37" s="10"/>
      <c r="O37" s="18"/>
      <c r="P37" s="9"/>
      <c r="Q37" s="9"/>
      <c r="R37" s="9"/>
      <c r="S37" s="75"/>
      <c r="T37" s="9"/>
    </row>
    <row r="38" spans="1:20" ht="16.05" customHeight="1" x14ac:dyDescent="0.2">
      <c r="A38" s="74"/>
      <c r="B38" s="17"/>
      <c r="C38" s="17"/>
      <c r="D38" s="17"/>
      <c r="E38" s="5" t="s">
        <v>65</v>
      </c>
      <c r="F38" s="6">
        <f t="shared" si="0"/>
        <v>0.39</v>
      </c>
      <c r="G38" s="4">
        <v>4</v>
      </c>
      <c r="H38" s="10">
        <v>1.56</v>
      </c>
      <c r="I38" s="7"/>
      <c r="J38" s="4" t="s">
        <v>53</v>
      </c>
      <c r="K38" s="95">
        <v>775</v>
      </c>
      <c r="L38" s="8">
        <f t="shared" si="1"/>
        <v>1209</v>
      </c>
      <c r="M38" s="9"/>
      <c r="N38" s="10"/>
      <c r="O38" s="18"/>
      <c r="P38" s="9"/>
      <c r="Q38" s="9"/>
      <c r="R38" s="9"/>
      <c r="S38" s="75"/>
      <c r="T38" s="9"/>
    </row>
    <row r="39" spans="1:20" ht="16.05" customHeight="1" x14ac:dyDescent="0.2">
      <c r="A39" s="74"/>
      <c r="B39" s="17"/>
      <c r="C39" s="17"/>
      <c r="D39" s="17"/>
      <c r="E39" s="5" t="s">
        <v>28</v>
      </c>
      <c r="F39" s="6">
        <f t="shared" si="0"/>
        <v>0.29875000000000002</v>
      </c>
      <c r="G39" s="4">
        <v>8</v>
      </c>
      <c r="H39" s="10">
        <v>2.39</v>
      </c>
      <c r="I39" s="7"/>
      <c r="J39" s="4" t="s">
        <v>78</v>
      </c>
      <c r="K39" s="95">
        <v>650</v>
      </c>
      <c r="L39" s="8">
        <f t="shared" si="1"/>
        <v>1553.5</v>
      </c>
      <c r="M39" s="9"/>
      <c r="N39" s="10"/>
      <c r="O39" s="18"/>
      <c r="P39" s="9"/>
      <c r="Q39" s="9"/>
      <c r="R39" s="9"/>
      <c r="S39" s="75"/>
      <c r="T39" s="9"/>
    </row>
    <row r="40" spans="1:20" ht="16.05" customHeight="1" x14ac:dyDescent="0.2">
      <c r="A40" s="74"/>
      <c r="B40" s="17"/>
      <c r="C40" s="17"/>
      <c r="D40" s="17"/>
      <c r="E40" s="5" t="s">
        <v>24</v>
      </c>
      <c r="F40" s="6">
        <f t="shared" si="0"/>
        <v>0.23684210526315788</v>
      </c>
      <c r="G40" s="4">
        <v>19</v>
      </c>
      <c r="H40" s="10">
        <v>4.5</v>
      </c>
      <c r="I40" s="7"/>
      <c r="J40" s="4" t="s">
        <v>78</v>
      </c>
      <c r="K40" s="95">
        <v>650</v>
      </c>
      <c r="L40" s="8">
        <f t="shared" si="1"/>
        <v>2925</v>
      </c>
      <c r="M40" s="9"/>
      <c r="N40" s="10"/>
      <c r="O40" s="18"/>
      <c r="P40" s="9"/>
      <c r="Q40" s="9"/>
      <c r="R40" s="9"/>
      <c r="S40" s="75"/>
      <c r="T40" s="9"/>
    </row>
    <row r="41" spans="1:20" ht="16.05" customHeight="1" x14ac:dyDescent="0.2">
      <c r="A41" s="74"/>
      <c r="B41" s="17"/>
      <c r="C41" s="17"/>
      <c r="D41" s="17"/>
      <c r="E41" s="5" t="s">
        <v>11</v>
      </c>
      <c r="F41" s="6">
        <f t="shared" si="0"/>
        <v>0.188</v>
      </c>
      <c r="G41" s="4">
        <v>20</v>
      </c>
      <c r="H41" s="10">
        <v>3.76</v>
      </c>
      <c r="I41" s="7"/>
      <c r="J41" s="4" t="s">
        <v>22</v>
      </c>
      <c r="K41" s="95">
        <v>575</v>
      </c>
      <c r="L41" s="8">
        <f t="shared" si="1"/>
        <v>2162</v>
      </c>
      <c r="M41" s="9"/>
      <c r="N41" s="10"/>
      <c r="O41" s="18"/>
      <c r="P41" s="9"/>
      <c r="Q41" s="9"/>
      <c r="R41" s="9"/>
      <c r="S41" s="75"/>
      <c r="T41" s="9"/>
    </row>
    <row r="42" spans="1:20" ht="16.05" customHeight="1" x14ac:dyDescent="0.2">
      <c r="A42" s="74"/>
      <c r="B42" s="17"/>
      <c r="C42" s="17"/>
      <c r="D42" s="17"/>
      <c r="E42" s="5" t="s">
        <v>74</v>
      </c>
      <c r="F42" s="6">
        <f t="shared" si="0"/>
        <v>0.155</v>
      </c>
      <c r="G42" s="4">
        <v>2</v>
      </c>
      <c r="H42" s="10">
        <v>0.31</v>
      </c>
      <c r="I42" s="7"/>
      <c r="J42" s="4" t="s">
        <v>79</v>
      </c>
      <c r="K42" s="95">
        <v>575</v>
      </c>
      <c r="L42" s="8">
        <f t="shared" si="1"/>
        <v>178.25</v>
      </c>
      <c r="M42" s="9"/>
      <c r="N42" s="10"/>
      <c r="O42" s="18"/>
      <c r="P42" s="9"/>
      <c r="Q42" s="9"/>
      <c r="R42" s="9"/>
      <c r="S42" s="75"/>
      <c r="T42" s="9"/>
    </row>
    <row r="43" spans="1:20" ht="16.05" customHeight="1" x14ac:dyDescent="0.2">
      <c r="A43" s="74"/>
      <c r="B43" s="17"/>
      <c r="C43" s="17"/>
      <c r="D43" s="17"/>
      <c r="E43" s="5" t="s">
        <v>47</v>
      </c>
      <c r="F43" s="6">
        <f t="shared" si="0"/>
        <v>0.12833333333333333</v>
      </c>
      <c r="G43" s="4">
        <v>6</v>
      </c>
      <c r="H43" s="10">
        <v>0.77</v>
      </c>
      <c r="I43" s="7"/>
      <c r="J43" s="4" t="s">
        <v>80</v>
      </c>
      <c r="K43" s="95">
        <v>525</v>
      </c>
      <c r="L43" s="8">
        <f t="shared" si="1"/>
        <v>404.25</v>
      </c>
      <c r="M43" s="9"/>
      <c r="N43" s="10"/>
      <c r="O43" s="18"/>
      <c r="P43" s="9"/>
      <c r="Q43" s="9"/>
      <c r="R43" s="9"/>
      <c r="S43" s="75"/>
      <c r="T43" s="9"/>
    </row>
    <row r="44" spans="1:20" ht="16.05" customHeight="1" x14ac:dyDescent="0.2">
      <c r="A44" s="74"/>
      <c r="B44" s="17"/>
      <c r="C44" s="17"/>
      <c r="D44" s="17"/>
      <c r="E44" s="5" t="s">
        <v>48</v>
      </c>
      <c r="F44" s="6">
        <f t="shared" si="0"/>
        <v>9.2999999999999999E-2</v>
      </c>
      <c r="G44" s="4">
        <v>10</v>
      </c>
      <c r="H44" s="10">
        <v>0.93</v>
      </c>
      <c r="I44" s="7"/>
      <c r="J44" s="4" t="s">
        <v>80</v>
      </c>
      <c r="K44" s="95">
        <v>525</v>
      </c>
      <c r="L44" s="8">
        <f t="shared" si="1"/>
        <v>488.25</v>
      </c>
      <c r="M44" s="9"/>
      <c r="N44" s="10"/>
      <c r="O44" s="18"/>
      <c r="P44" s="9"/>
      <c r="Q44" s="9"/>
      <c r="R44" s="9"/>
      <c r="S44" s="75"/>
      <c r="T44" s="9"/>
    </row>
    <row r="45" spans="1:20" ht="16.05" customHeight="1" x14ac:dyDescent="0.2">
      <c r="A45" s="54"/>
      <c r="B45" s="55"/>
      <c r="C45" s="55"/>
      <c r="D45" s="55"/>
      <c r="E45" s="56" t="s">
        <v>75</v>
      </c>
      <c r="F45" s="45">
        <f t="shared" si="0"/>
        <v>2.4999999999999998E-2</v>
      </c>
      <c r="G45" s="43">
        <v>14</v>
      </c>
      <c r="H45" s="58">
        <v>0.35</v>
      </c>
      <c r="I45" s="59"/>
      <c r="J45" s="43" t="s">
        <v>81</v>
      </c>
      <c r="K45" s="93">
        <v>425</v>
      </c>
      <c r="L45" s="48">
        <f t="shared" si="1"/>
        <v>148.75</v>
      </c>
      <c r="M45" s="49">
        <v>108</v>
      </c>
      <c r="N45" s="58">
        <v>25.3</v>
      </c>
      <c r="O45" s="76">
        <v>21.558</v>
      </c>
      <c r="P45" s="48">
        <f>O45*M45</f>
        <v>2328.2640000000001</v>
      </c>
      <c r="Q45" s="49">
        <v>500</v>
      </c>
      <c r="R45" s="49">
        <f>19.5*18.71</f>
        <v>364.84500000000003</v>
      </c>
      <c r="S45" s="99">
        <f>R45+Q45+P45+L35+L36+L37+L38+L39+L40+L41+L42+L43+L44+L45</f>
        <v>16554.609</v>
      </c>
      <c r="T45" s="104"/>
    </row>
    <row r="46" spans="1:20" ht="16.05" customHeight="1" x14ac:dyDescent="0.2">
      <c r="A46" s="62">
        <f>SUBTOTAL(103,Table1[Sr])</f>
        <v>8</v>
      </c>
      <c r="B46" s="63"/>
      <c r="C46" s="63"/>
      <c r="D46" s="63"/>
      <c r="E46" s="63"/>
      <c r="F46" s="77"/>
      <c r="G46" s="66">
        <f>SUBTOTAL(109,Table1[No.Pcs])</f>
        <v>566</v>
      </c>
      <c r="H46" s="67">
        <f>SUBTOTAL(109,Table1[Diam Cts])</f>
        <v>109.42</v>
      </c>
      <c r="I46" s="78"/>
      <c r="J46" s="66"/>
      <c r="K46" s="66"/>
      <c r="L46" s="79">
        <f>SUBTOTAL(109,Table1[Diam Total])</f>
        <v>73269.45</v>
      </c>
      <c r="M46" s="66"/>
      <c r="N46" s="67">
        <f>SUBTOTAL(109,Table1[Gross Gm])</f>
        <v>149.91000000000003</v>
      </c>
      <c r="O46" s="70">
        <f>SUBTOTAL(109,Table1[Net Gm])</f>
        <v>128.03200000000001</v>
      </c>
      <c r="P46" s="69">
        <f>SUBTOTAL(109,Table1[Gold Total])</f>
        <v>14460.846000000001</v>
      </c>
      <c r="Q46" s="69">
        <f>SUBTOTAL(109,Table1[Diam Settg])</f>
        <v>2163.2799999999997</v>
      </c>
      <c r="R46" s="69">
        <f>SUBTOTAL(109,Table1[Cert Exp])</f>
        <v>2133.6899999999996</v>
      </c>
      <c r="S46" s="100">
        <f>SUBTOTAL(109,Table1[Total Amt $])</f>
        <v>92027.266000000003</v>
      </c>
      <c r="T46" s="106"/>
    </row>
    <row r="47" spans="1:20" ht="16.0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>
        <v>1</v>
      </c>
      <c r="M47" s="1"/>
      <c r="N47" s="2"/>
      <c r="O47" s="1"/>
      <c r="P47" s="1">
        <v>2</v>
      </c>
      <c r="Q47" s="1">
        <v>3</v>
      </c>
      <c r="R47" s="1">
        <v>4</v>
      </c>
      <c r="S47" s="1" t="s">
        <v>34</v>
      </c>
    </row>
    <row r="48" spans="1:20" ht="16.05" customHeight="1" x14ac:dyDescent="0.2">
      <c r="A48" s="121" t="s">
        <v>84</v>
      </c>
      <c r="B48" s="121"/>
      <c r="C48" s="121"/>
      <c r="D48" s="121"/>
      <c r="R48" s="103" t="s">
        <v>88</v>
      </c>
      <c r="S48" s="102">
        <f>Table1[[#Totals],[Total Amt $]]*3.6725</f>
        <v>337970.13438499998</v>
      </c>
    </row>
    <row r="49" spans="1:4" ht="16.05" customHeight="1" x14ac:dyDescent="0.2">
      <c r="A49" s="121" t="s">
        <v>85</v>
      </c>
      <c r="B49" s="121"/>
      <c r="C49" s="121"/>
      <c r="D49" s="121"/>
    </row>
  </sheetData>
  <mergeCells count="4">
    <mergeCell ref="A48:D48"/>
    <mergeCell ref="A49:D49"/>
    <mergeCell ref="A2:S2"/>
    <mergeCell ref="A3:S3"/>
  </mergeCells>
  <hyperlinks>
    <hyperlink ref="C5" r:id="rId1" xr:uid="{20B8BFF0-A21D-40DE-83C8-618477CAFF78}"/>
    <hyperlink ref="C6" r:id="rId2" xr:uid="{E8074162-FFAA-4775-BB23-D6B908C60DD7}"/>
    <hyperlink ref="C7" r:id="rId3" xr:uid="{34FAFDF4-CB15-4A0A-A93E-46A91D65F141}"/>
    <hyperlink ref="C8" r:id="rId4" display="Hrd" xr:uid="{419B5C58-29BC-409E-9FD2-91A2A8C07669}"/>
    <hyperlink ref="C10" r:id="rId5" xr:uid="{2201C00E-197A-4D83-9527-E316D014677C}"/>
    <hyperlink ref="C13" r:id="rId6" xr:uid="{2CF599C9-CFB0-4FB8-B022-C7762F6666BA}"/>
    <hyperlink ref="C24" r:id="rId7" xr:uid="{A1A6394A-AC3F-4C2D-B08F-8E87E298260D}"/>
    <hyperlink ref="C35" r:id="rId8" xr:uid="{62C612E9-5309-4F3F-9183-FBECA565B63B}"/>
  </hyperlinks>
  <pageMargins left="0.70866141732283472" right="0.70866141732283472" top="0" bottom="0" header="0.31496062992125984" footer="0.31496062992125984"/>
  <pageSetup paperSize="9" scale="72" orientation="landscape" r:id="rId9"/>
  <ignoredErrors>
    <ignoredError sqref="F5:F45 R5:S45" unlockedFormula="1"/>
  </ignoredErrors>
  <drawing r:id="rId10"/>
  <tableParts count="1"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Star-Viraj Shah</dc:creator>
  <cp:lastModifiedBy>Antonia Star-Viraj Shah</cp:lastModifiedBy>
  <cp:lastPrinted>2026-01-08T12:32:43Z</cp:lastPrinted>
  <dcterms:created xsi:type="dcterms:W3CDTF">2026-01-08T10:30:09Z</dcterms:created>
  <dcterms:modified xsi:type="dcterms:W3CDTF">2026-01-28T13:03:15Z</dcterms:modified>
</cp:coreProperties>
</file>