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103\new data important\2.ALL DATA\ANTONIA STAR DIAM\14.Files\"/>
    </mc:Choice>
  </mc:AlternateContent>
  <xr:revisionPtr revIDLastSave="0" documentId="13_ncr:1_{D733D252-4D83-411F-94E5-1278B6B0BD42}" xr6:coauthVersionLast="47" xr6:coauthVersionMax="47" xr10:uidLastSave="{00000000-0000-0000-0000-000000000000}"/>
  <bookViews>
    <workbookView xWindow="-108" yWindow="-108" windowWidth="23256" windowHeight="12456" xr2:uid="{7697AA80-B07E-4023-B186-C74C8C1FB4DF}"/>
  </bookViews>
  <sheets>
    <sheet name="Summary" sheetId="4" r:id="rId1"/>
    <sheet name="1.Jewellery Stk" sheetId="1" r:id="rId2"/>
    <sheet name="2.Certified" sheetId="3" r:id="rId3"/>
    <sheet name="3.Loose" sheetId="2" r:id="rId4"/>
    <sheet name="4.Manufacturing" sheetId="5" r:id="rId5"/>
    <sheet name="5.LGD Jewellery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7" i="1" l="1"/>
  <c r="G17" i="6" l="1"/>
  <c r="F17" i="6"/>
  <c r="K17" i="6"/>
  <c r="K16" i="6"/>
  <c r="K14" i="6"/>
  <c r="K13" i="6"/>
  <c r="K12" i="6"/>
  <c r="K11" i="6"/>
  <c r="K9" i="6"/>
  <c r="K8" i="6"/>
  <c r="K7" i="6"/>
  <c r="K6" i="6"/>
  <c r="K4" i="6"/>
  <c r="K3" i="6"/>
  <c r="D14" i="4" l="1"/>
  <c r="C14" i="4"/>
  <c r="B48" i="5" l="1"/>
  <c r="H48" i="5"/>
  <c r="G48" i="5"/>
  <c r="K47" i="5"/>
  <c r="K46" i="5"/>
  <c r="K45" i="5"/>
  <c r="K44" i="5"/>
  <c r="K43" i="5"/>
  <c r="K42" i="5"/>
  <c r="F47" i="5"/>
  <c r="F46" i="5"/>
  <c r="F45" i="5"/>
  <c r="F44" i="5"/>
  <c r="F43" i="5"/>
  <c r="F42" i="5"/>
  <c r="K40" i="5"/>
  <c r="K39" i="5"/>
  <c r="K38" i="5"/>
  <c r="K37" i="5"/>
  <c r="F40" i="5"/>
  <c r="F39" i="5"/>
  <c r="F38" i="5"/>
  <c r="F37" i="5"/>
  <c r="K35" i="5"/>
  <c r="K34" i="5"/>
  <c r="K33" i="5"/>
  <c r="K32" i="5"/>
  <c r="F35" i="5"/>
  <c r="F34" i="5"/>
  <c r="F33" i="5"/>
  <c r="F32" i="5"/>
  <c r="K30" i="5"/>
  <c r="K29" i="5"/>
  <c r="K28" i="5"/>
  <c r="K27" i="5"/>
  <c r="F30" i="5"/>
  <c r="F29" i="5"/>
  <c r="F28" i="5"/>
  <c r="F27" i="5"/>
  <c r="K25" i="5"/>
  <c r="K24" i="5"/>
  <c r="K23" i="5"/>
  <c r="F25" i="5"/>
  <c r="F24" i="5"/>
  <c r="F23" i="5"/>
  <c r="K21" i="5" l="1"/>
  <c r="K20" i="5"/>
  <c r="K19" i="5"/>
  <c r="K18" i="5"/>
  <c r="K17" i="5"/>
  <c r="K15" i="5"/>
  <c r="K14" i="5"/>
  <c r="K13" i="5"/>
  <c r="K12" i="5"/>
  <c r="K10" i="5"/>
  <c r="K9" i="5"/>
  <c r="K8" i="5"/>
  <c r="K7" i="5"/>
  <c r="F21" i="5"/>
  <c r="F20" i="5"/>
  <c r="F19" i="5"/>
  <c r="F18" i="5"/>
  <c r="F17" i="5"/>
  <c r="F15" i="5"/>
  <c r="F14" i="5"/>
  <c r="F13" i="5"/>
  <c r="F12" i="5"/>
  <c r="F10" i="5"/>
  <c r="F9" i="5"/>
  <c r="F8" i="5"/>
  <c r="F7" i="5"/>
  <c r="K3" i="5"/>
  <c r="F3" i="5"/>
  <c r="K5" i="5"/>
  <c r="F5" i="5"/>
  <c r="K4" i="5"/>
  <c r="F4" i="5"/>
  <c r="K48" i="5" l="1"/>
  <c r="C8" i="4" l="1"/>
  <c r="D8" i="4"/>
  <c r="D16" i="4" s="1"/>
  <c r="G93" i="2" l="1"/>
  <c r="G92" i="2"/>
  <c r="G91" i="2"/>
  <c r="G90" i="2"/>
  <c r="G89" i="2"/>
  <c r="G84" i="2"/>
  <c r="G83" i="2"/>
  <c r="G82" i="2"/>
  <c r="G81" i="2"/>
  <c r="G80" i="2"/>
  <c r="G79" i="2"/>
  <c r="G78" i="2"/>
  <c r="G77" i="2"/>
  <c r="G75" i="2"/>
  <c r="G74" i="2"/>
  <c r="G73" i="2"/>
  <c r="G72" i="2"/>
  <c r="G71" i="2"/>
  <c r="G69" i="2"/>
  <c r="G68" i="2"/>
  <c r="G67" i="2"/>
  <c r="G66" i="2"/>
  <c r="G64" i="2"/>
  <c r="G63" i="2"/>
  <c r="G62" i="2"/>
  <c r="G61" i="2"/>
  <c r="G60" i="2"/>
  <c r="G59" i="2"/>
  <c r="G58" i="2"/>
  <c r="G56" i="2"/>
  <c r="G55" i="2"/>
  <c r="G54" i="2"/>
  <c r="G53" i="2"/>
  <c r="G52" i="2"/>
  <c r="G51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5" i="2"/>
  <c r="G34" i="2"/>
  <c r="G33" i="2"/>
  <c r="G32" i="2"/>
  <c r="G30" i="2"/>
  <c r="G29" i="2"/>
  <c r="G28" i="2"/>
  <c r="G26" i="2"/>
  <c r="G25" i="2"/>
  <c r="G24" i="2"/>
  <c r="G23" i="2"/>
  <c r="G22" i="2"/>
  <c r="G21" i="2"/>
  <c r="G20" i="2"/>
  <c r="G19" i="2"/>
  <c r="G17" i="2"/>
  <c r="G16" i="2"/>
  <c r="G15" i="2"/>
  <c r="G14" i="2"/>
  <c r="G13" i="2"/>
  <c r="G12" i="2"/>
  <c r="G10" i="2"/>
  <c r="G9" i="2"/>
  <c r="G8" i="2"/>
  <c r="G7" i="2"/>
  <c r="G6" i="2"/>
  <c r="G5" i="2"/>
  <c r="G4" i="2"/>
  <c r="G87" i="2"/>
  <c r="G86" i="2"/>
  <c r="E94" i="2" l="1"/>
  <c r="G94" i="2" l="1"/>
  <c r="F94" i="2"/>
  <c r="C82" i="3"/>
  <c r="G82" i="3"/>
  <c r="U81" i="3"/>
  <c r="U80" i="3"/>
  <c r="U79" i="3"/>
  <c r="U78" i="3"/>
  <c r="U77" i="3"/>
  <c r="U76" i="3"/>
  <c r="U75" i="3"/>
  <c r="U74" i="3"/>
  <c r="U73" i="3"/>
  <c r="U72" i="3"/>
  <c r="U71" i="3"/>
  <c r="U70" i="3"/>
  <c r="U69" i="3"/>
  <c r="U68" i="3"/>
  <c r="U66" i="3"/>
  <c r="U65" i="3"/>
  <c r="U64" i="3"/>
  <c r="U63" i="3"/>
  <c r="U62" i="3"/>
  <c r="U61" i="3"/>
  <c r="U60" i="3"/>
  <c r="U59" i="3"/>
  <c r="U58" i="3"/>
  <c r="U57" i="3"/>
  <c r="U56" i="3"/>
  <c r="U55" i="3"/>
  <c r="U54" i="3"/>
  <c r="U53" i="3"/>
  <c r="U52" i="3"/>
  <c r="U51" i="3"/>
  <c r="U49" i="3"/>
  <c r="U48" i="3"/>
  <c r="U47" i="3"/>
  <c r="U46" i="3"/>
  <c r="U45" i="3"/>
  <c r="U44" i="3"/>
  <c r="U43" i="3"/>
  <c r="U42" i="3"/>
  <c r="U41" i="3"/>
  <c r="U40" i="3"/>
  <c r="U39" i="3"/>
  <c r="U38" i="3"/>
  <c r="U37" i="3"/>
  <c r="U36" i="3"/>
  <c r="U35" i="3"/>
  <c r="U34" i="3"/>
  <c r="U33" i="3"/>
  <c r="U32" i="3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U18" i="3"/>
  <c r="U17" i="3"/>
  <c r="U16" i="3"/>
  <c r="U15" i="3"/>
  <c r="U14" i="3"/>
  <c r="U13" i="3"/>
  <c r="U12" i="3"/>
  <c r="U11" i="3"/>
  <c r="U10" i="3"/>
  <c r="U9" i="3"/>
  <c r="U8" i="3"/>
  <c r="U7" i="3"/>
  <c r="U6" i="3"/>
  <c r="U5" i="3"/>
  <c r="U82" i="3" l="1"/>
  <c r="A113" i="1" l="1"/>
  <c r="K112" i="1" l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 l="1"/>
  <c r="K88" i="1"/>
  <c r="K87" i="1"/>
  <c r="K86" i="1" l="1"/>
  <c r="K85" i="1"/>
  <c r="K84" i="1"/>
  <c r="K83" i="1" l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 l="1"/>
  <c r="K55" i="1"/>
  <c r="K54" i="1"/>
  <c r="K53" i="1"/>
  <c r="J52" i="1"/>
  <c r="K52" i="1" s="1"/>
  <c r="K51" i="1"/>
  <c r="K50" i="1"/>
  <c r="K49" i="1"/>
  <c r="K48" i="1"/>
  <c r="K47" i="1"/>
  <c r="K46" i="1"/>
  <c r="K45" i="1"/>
  <c r="K44" i="1"/>
  <c r="K43" i="1"/>
  <c r="K42" i="1" l="1"/>
  <c r="K41" i="1"/>
  <c r="K39" i="1" l="1"/>
  <c r="K38" i="1"/>
  <c r="K37" i="1"/>
  <c r="K36" i="1"/>
  <c r="K35" i="1"/>
  <c r="K34" i="1"/>
  <c r="K33" i="1"/>
  <c r="K32" i="1"/>
  <c r="K31" i="1"/>
  <c r="K30" i="1"/>
  <c r="K29" i="1" l="1"/>
  <c r="K28" i="1"/>
  <c r="J27" i="1"/>
  <c r="K27" i="1" s="1"/>
  <c r="K26" i="1"/>
  <c r="K25" i="1"/>
  <c r="K24" i="1" l="1"/>
  <c r="K23" i="1"/>
  <c r="K21" i="1"/>
  <c r="K20" i="1"/>
  <c r="K19" i="1"/>
  <c r="K18" i="1"/>
  <c r="J17" i="1"/>
  <c r="K17" i="1" s="1"/>
  <c r="K16" i="1"/>
  <c r="K15" i="1" l="1"/>
  <c r="K14" i="1" l="1"/>
  <c r="K13" i="1"/>
  <c r="K12" i="1"/>
  <c r="K11" i="1"/>
  <c r="K10" i="1"/>
  <c r="K9" i="1"/>
  <c r="K8" i="1"/>
  <c r="K7" i="1"/>
  <c r="K6" i="1"/>
  <c r="K5" i="1" l="1"/>
  <c r="K113" i="1" s="1"/>
  <c r="J113" i="1"/>
  <c r="I113" i="1"/>
  <c r="H113" i="1"/>
  <c r="G113" i="1"/>
  <c r="F113" i="1"/>
  <c r="E113" i="1"/>
</calcChain>
</file>

<file path=xl/sharedStrings.xml><?xml version="1.0" encoding="utf-8"?>
<sst xmlns="http://schemas.openxmlformats.org/spreadsheetml/2006/main" count="1476" uniqueCount="446">
  <si>
    <t>Sr</t>
  </si>
  <si>
    <t>Jewellery Items</t>
  </si>
  <si>
    <t>Diam Carats</t>
  </si>
  <si>
    <t>Gold Gms</t>
  </si>
  <si>
    <t>Gold Amt</t>
  </si>
  <si>
    <t>Labour Amt</t>
  </si>
  <si>
    <t>Cert Expense</t>
  </si>
  <si>
    <t>Total Cost</t>
  </si>
  <si>
    <t>(1+2+3+4)</t>
  </si>
  <si>
    <t>Emerald Graduation Necklace</t>
  </si>
  <si>
    <t>Color Stone in this -13.63ct-1pc</t>
  </si>
  <si>
    <t>Certificate</t>
  </si>
  <si>
    <t>J240000084814</t>
  </si>
  <si>
    <t>J240000112197</t>
  </si>
  <si>
    <t>Tennis Braclet Rounds</t>
  </si>
  <si>
    <t>Size</t>
  </si>
  <si>
    <t>45-49</t>
  </si>
  <si>
    <t>Pear Fancy Col.Pendant</t>
  </si>
  <si>
    <t>Mix</t>
  </si>
  <si>
    <t>Oval Fancy Col.Pendant</t>
  </si>
  <si>
    <t>Heart Look Fancy Color Necklace</t>
  </si>
  <si>
    <t>32J8071224</t>
  </si>
  <si>
    <t>3/8</t>
  </si>
  <si>
    <t>J240000050286</t>
  </si>
  <si>
    <t>J240000050287</t>
  </si>
  <si>
    <t>Pear Fncy Pendant Small</t>
  </si>
  <si>
    <t>Un-cert</t>
  </si>
  <si>
    <t>Pear Fncy Pendant Medium</t>
  </si>
  <si>
    <t>Emerald Fncy Pendant</t>
  </si>
  <si>
    <t>Emerald Braclet-Gia</t>
  </si>
  <si>
    <t>Gia</t>
  </si>
  <si>
    <t>1/3</t>
  </si>
  <si>
    <t>70% Straight Necklace</t>
  </si>
  <si>
    <t>1/4</t>
  </si>
  <si>
    <t>J240000105223</t>
  </si>
  <si>
    <t>Double Line Pears Necklace</t>
  </si>
  <si>
    <t>J240000112221</t>
  </si>
  <si>
    <t>Half Straight Necklace</t>
  </si>
  <si>
    <t>J240000105224</t>
  </si>
  <si>
    <t>Full Straight Necklace</t>
  </si>
  <si>
    <t>1/5</t>
  </si>
  <si>
    <t>J240000122222</t>
  </si>
  <si>
    <t>Pears-Heart-Round Mixed Necklace</t>
  </si>
  <si>
    <t>J250000040438</t>
  </si>
  <si>
    <t>Full Graduation Necklace</t>
  </si>
  <si>
    <t>J250000020106</t>
  </si>
  <si>
    <t>Mq.Ruby Earring</t>
  </si>
  <si>
    <t>Ruby : 5.72ct</t>
  </si>
  <si>
    <t>Fancy Prin-Emd Brc</t>
  </si>
  <si>
    <t>J250000020098</t>
  </si>
  <si>
    <t>Emerald Braclet</t>
  </si>
  <si>
    <t>1/6</t>
  </si>
  <si>
    <t>J250000040437</t>
  </si>
  <si>
    <t>Pears-Round Necklace</t>
  </si>
  <si>
    <t>J250000048215</t>
  </si>
  <si>
    <t>J250000040440</t>
  </si>
  <si>
    <t>J250000048217</t>
  </si>
  <si>
    <t>J250000053269</t>
  </si>
  <si>
    <t>Trapeze Braclet</t>
  </si>
  <si>
    <t>18K Jewellery in Natural Diamonds Stock List as on 31 March 2026- ( IN STOCK )</t>
  </si>
  <si>
    <t>Dia.Cost</t>
  </si>
  <si>
    <t>Cert Amt</t>
  </si>
  <si>
    <t>J250000053267</t>
  </si>
  <si>
    <t>Tennis Braclet- Rounds</t>
  </si>
  <si>
    <t>J250000053266</t>
  </si>
  <si>
    <t>Diamond Cost</t>
  </si>
  <si>
    <t>Emd Horiz. Brc</t>
  </si>
  <si>
    <t>J250000081112</t>
  </si>
  <si>
    <t>Emerald-Oval Braclet</t>
  </si>
  <si>
    <t>J250000081116</t>
  </si>
  <si>
    <t>J250000085190</t>
  </si>
  <si>
    <t>Pear Tennis Braclet</t>
  </si>
  <si>
    <t>J250000081111</t>
  </si>
  <si>
    <t>Emerald Brc (Frame)</t>
  </si>
  <si>
    <t>J250000084449</t>
  </si>
  <si>
    <t>J250000084448</t>
  </si>
  <si>
    <t>Green Pear Color Stone-3.32ct</t>
  </si>
  <si>
    <t>Green Pear Color Stone-9.15ct</t>
  </si>
  <si>
    <t>Pears Braclet</t>
  </si>
  <si>
    <t>J250000084447</t>
  </si>
  <si>
    <t>3/8-1/4</t>
  </si>
  <si>
    <t>J250000081121</t>
  </si>
  <si>
    <t>Emerald Illusion Brc</t>
  </si>
  <si>
    <t>J250000084446</t>
  </si>
  <si>
    <t>1/4-1/10</t>
  </si>
  <si>
    <t>Pears-Oval Braclet</t>
  </si>
  <si>
    <t>J250000085194</t>
  </si>
  <si>
    <t>1/5-1/10</t>
  </si>
  <si>
    <t>J250000085189</t>
  </si>
  <si>
    <t>Fncy Ovals-Round Brc</t>
  </si>
  <si>
    <t>49J9579525</t>
  </si>
  <si>
    <t>Fncy Heart-Round Brc</t>
  </si>
  <si>
    <t>J250000089663</t>
  </si>
  <si>
    <t>Pears-Round Braclet</t>
  </si>
  <si>
    <t>J250000089669</t>
  </si>
  <si>
    <t>Fncy Shape &amp; Fncy Col Brc</t>
  </si>
  <si>
    <t>J250000112882</t>
  </si>
  <si>
    <t>Tennis Braclet</t>
  </si>
  <si>
    <t>J250000112877</t>
  </si>
  <si>
    <t>Princess-Emerald Brc</t>
  </si>
  <si>
    <t>J250000122464</t>
  </si>
  <si>
    <t>Marquise-Round Braclet</t>
  </si>
  <si>
    <t>J250000112869</t>
  </si>
  <si>
    <t>70% Graduation Necklace Rounds</t>
  </si>
  <si>
    <t>J250000119841</t>
  </si>
  <si>
    <t>J250000119837</t>
  </si>
  <si>
    <t>Round-Emerald Brc</t>
  </si>
  <si>
    <t>J250000122437</t>
  </si>
  <si>
    <t>Round-Marquise Brc</t>
  </si>
  <si>
    <t>74J8406025</t>
  </si>
  <si>
    <t>Yellow Cushion-Rd Brc</t>
  </si>
  <si>
    <t>J250000130902</t>
  </si>
  <si>
    <t>Emerald-Princess Brc</t>
  </si>
  <si>
    <t>J250000122467</t>
  </si>
  <si>
    <t>Rounds-Emeralds Brc</t>
  </si>
  <si>
    <t>J250000122460</t>
  </si>
  <si>
    <t>J250000122453</t>
  </si>
  <si>
    <t>Princess-Round Braclet</t>
  </si>
  <si>
    <t>J250000112866</t>
  </si>
  <si>
    <t>Round-Princess Braclet</t>
  </si>
  <si>
    <t>J250000130901</t>
  </si>
  <si>
    <t>Round Braclet</t>
  </si>
  <si>
    <t>J250000112868</t>
  </si>
  <si>
    <t>J250000112875</t>
  </si>
  <si>
    <t>J250000112874</t>
  </si>
  <si>
    <t>Emeralds-Round Braclet</t>
  </si>
  <si>
    <t>J250000112872</t>
  </si>
  <si>
    <t>J250000112865</t>
  </si>
  <si>
    <t>Pears-Marquise Braclet</t>
  </si>
  <si>
    <t>J250000112860</t>
  </si>
  <si>
    <t>Emeralds-Princess Braclet</t>
  </si>
  <si>
    <t>J250000112880</t>
  </si>
  <si>
    <t>1/5-1/6</t>
  </si>
  <si>
    <t>J250000112861</t>
  </si>
  <si>
    <t>Princess-Emd-Mq Braclet</t>
  </si>
  <si>
    <t>J250000112854</t>
  </si>
  <si>
    <t>Emeralds-Ps-Marquise Brc</t>
  </si>
  <si>
    <t>J250000112857</t>
  </si>
  <si>
    <t>J250000112878</t>
  </si>
  <si>
    <t>Half Emd-Half Princ Braclet</t>
  </si>
  <si>
    <t>J250000112856</t>
  </si>
  <si>
    <t>Fncy Cushion-Rd Brc</t>
  </si>
  <si>
    <t>J250000130900</t>
  </si>
  <si>
    <t>Fancy Pear - Wht Pear Brc</t>
  </si>
  <si>
    <t>J250000122463</t>
  </si>
  <si>
    <t>Emerald-Round Brc</t>
  </si>
  <si>
    <t>J250000122458</t>
  </si>
  <si>
    <t>Ps-Mq-Rd Braclet</t>
  </si>
  <si>
    <t>J250000122465</t>
  </si>
  <si>
    <t>J250000122468</t>
  </si>
  <si>
    <t>Round Composite -Emd Brc</t>
  </si>
  <si>
    <t>J250000122446</t>
  </si>
  <si>
    <t>Emerald-Heart Brc</t>
  </si>
  <si>
    <t>J250000122466</t>
  </si>
  <si>
    <t>J250000119838</t>
  </si>
  <si>
    <t>J250000130904</t>
  </si>
  <si>
    <t>J250000161744</t>
  </si>
  <si>
    <t>J250000161743</t>
  </si>
  <si>
    <t>J250000161742</t>
  </si>
  <si>
    <t>J250000161740</t>
  </si>
  <si>
    <t>J260000049965</t>
  </si>
  <si>
    <t>J260000049941</t>
  </si>
  <si>
    <t>J260000049933</t>
  </si>
  <si>
    <t>+14</t>
  </si>
  <si>
    <t>J260000049961</t>
  </si>
  <si>
    <t>J260000049945</t>
  </si>
  <si>
    <t>J260000049964</t>
  </si>
  <si>
    <t>J260000049962</t>
  </si>
  <si>
    <t>J260000049937</t>
  </si>
  <si>
    <t>J260000049963</t>
  </si>
  <si>
    <t>J260000049967</t>
  </si>
  <si>
    <t>+13-13.50</t>
  </si>
  <si>
    <t>Marquise Necklace</t>
  </si>
  <si>
    <t>J260000049973</t>
  </si>
  <si>
    <t>Pears-Emerald-Marquise Necklace</t>
  </si>
  <si>
    <t>J260000049982</t>
  </si>
  <si>
    <t>Pears-Marquise-Rounds Necklace</t>
  </si>
  <si>
    <t>J260000049983</t>
  </si>
  <si>
    <t>Mixed Fancy Shapes Necklace</t>
  </si>
  <si>
    <t>Rounds-Ps-Mq Necklace</t>
  </si>
  <si>
    <t>Yet to Make Cert</t>
  </si>
  <si>
    <t>Carats</t>
  </si>
  <si>
    <t>Description</t>
  </si>
  <si>
    <t>Per/ct</t>
  </si>
  <si>
    <t>Total $</t>
  </si>
  <si>
    <t>18k Gms</t>
  </si>
  <si>
    <t>SR</t>
  </si>
  <si>
    <t>Parcel</t>
  </si>
  <si>
    <t>Shape</t>
  </si>
  <si>
    <t>Lab</t>
  </si>
  <si>
    <t>Cts</t>
  </si>
  <si>
    <t>Color</t>
  </si>
  <si>
    <t>Clarity</t>
  </si>
  <si>
    <t>Cut</t>
  </si>
  <si>
    <t>Polish</t>
  </si>
  <si>
    <t>Symm</t>
  </si>
  <si>
    <t>Fluro</t>
  </si>
  <si>
    <t>Ms 1</t>
  </si>
  <si>
    <t>Ms 2</t>
  </si>
  <si>
    <t>Ms 3</t>
  </si>
  <si>
    <t>Tab</t>
  </si>
  <si>
    <t>T.Dpth</t>
  </si>
  <si>
    <t>Cst/ct</t>
  </si>
  <si>
    <t>Cost %</t>
  </si>
  <si>
    <t>Total Cost $</t>
  </si>
  <si>
    <t>P08S-V02</t>
  </si>
  <si>
    <t>F6F74311</t>
  </si>
  <si>
    <t>Round</t>
  </si>
  <si>
    <t>IGI</t>
  </si>
  <si>
    <t>4.00 Ct</t>
  </si>
  <si>
    <t>E</t>
  </si>
  <si>
    <t>VS2</t>
  </si>
  <si>
    <t>VG</t>
  </si>
  <si>
    <t>EX</t>
  </si>
  <si>
    <t>SLT</t>
  </si>
  <si>
    <t>NB41/913</t>
  </si>
  <si>
    <t>1439556067</t>
  </si>
  <si>
    <t>GIA</t>
  </si>
  <si>
    <t>H</t>
  </si>
  <si>
    <t>SI2</t>
  </si>
  <si>
    <t>F</t>
  </si>
  <si>
    <t>56.00</t>
  </si>
  <si>
    <t>64.40</t>
  </si>
  <si>
    <t>1439630470</t>
  </si>
  <si>
    <t>N</t>
  </si>
  <si>
    <t>57.00</t>
  </si>
  <si>
    <t>63.80</t>
  </si>
  <si>
    <t>NB41/916</t>
  </si>
  <si>
    <t>6445034530</t>
  </si>
  <si>
    <t>G</t>
  </si>
  <si>
    <t>59.00</t>
  </si>
  <si>
    <t>64.70</t>
  </si>
  <si>
    <t>2447530113</t>
  </si>
  <si>
    <t>55.00</t>
  </si>
  <si>
    <t>66.20</t>
  </si>
  <si>
    <t>NB41/912</t>
  </si>
  <si>
    <t>2437963155</t>
  </si>
  <si>
    <t>63.70</t>
  </si>
  <si>
    <t>6442693911</t>
  </si>
  <si>
    <t>62.90</t>
  </si>
  <si>
    <t>NB41/906</t>
  </si>
  <si>
    <t>HRD</t>
  </si>
  <si>
    <t>90</t>
  </si>
  <si>
    <t>D</t>
  </si>
  <si>
    <t>M</t>
  </si>
  <si>
    <t>Loose Pointer</t>
  </si>
  <si>
    <t>SGLDGD109173E</t>
  </si>
  <si>
    <t>SGL</t>
  </si>
  <si>
    <t>I</t>
  </si>
  <si>
    <t>S</t>
  </si>
  <si>
    <t>SGLDGD109174E</t>
  </si>
  <si>
    <t>SGLDGD109166Q</t>
  </si>
  <si>
    <t>SI1</t>
  </si>
  <si>
    <t>Nirav Drf</t>
  </si>
  <si>
    <t>VSL</t>
  </si>
  <si>
    <t>N4043473B</t>
  </si>
  <si>
    <t>80</t>
  </si>
  <si>
    <t>N4043480A-1</t>
  </si>
  <si>
    <t>628457072</t>
  </si>
  <si>
    <t>N4043477-3</t>
  </si>
  <si>
    <t>628457085</t>
  </si>
  <si>
    <t>N4043482A</t>
  </si>
  <si>
    <t>628457092</t>
  </si>
  <si>
    <t>N4043475</t>
  </si>
  <si>
    <t>628457093</t>
  </si>
  <si>
    <t>N4043480A-3</t>
  </si>
  <si>
    <t>628457074</t>
  </si>
  <si>
    <t>N4043478A-1</t>
  </si>
  <si>
    <t>628457077</t>
  </si>
  <si>
    <t>N4043477-2</t>
  </si>
  <si>
    <t>628457084</t>
  </si>
  <si>
    <t>N4043477-4</t>
  </si>
  <si>
    <t>628457086</t>
  </si>
  <si>
    <t>N4043474B-2</t>
  </si>
  <si>
    <t>628457088</t>
  </si>
  <si>
    <t>N4043474B-3</t>
  </si>
  <si>
    <t>628457089</t>
  </si>
  <si>
    <t>N4043480A-4</t>
  </si>
  <si>
    <t>628457075</t>
  </si>
  <si>
    <t>N4043478A-2</t>
  </si>
  <si>
    <t>628457078</t>
  </si>
  <si>
    <t>N4043478A-3</t>
  </si>
  <si>
    <t>628457079</t>
  </si>
  <si>
    <t>N4043478A-4</t>
  </si>
  <si>
    <t>628457080</t>
  </si>
  <si>
    <t>N4043478A-5</t>
  </si>
  <si>
    <t>628457081</t>
  </si>
  <si>
    <t>N4043478A-6</t>
  </si>
  <si>
    <t>628457082</t>
  </si>
  <si>
    <t>N4043476-1</t>
  </si>
  <si>
    <t>628457090</t>
  </si>
  <si>
    <t>N4043476-2</t>
  </si>
  <si>
    <t>628457091</t>
  </si>
  <si>
    <t>Mb 90027559</t>
  </si>
  <si>
    <t>611364678</t>
  </si>
  <si>
    <t>611364682</t>
  </si>
  <si>
    <t>Mb 90027092</t>
  </si>
  <si>
    <t>Mb 90030113</t>
  </si>
  <si>
    <t xml:space="preserve">Emd </t>
  </si>
  <si>
    <t>VS1</t>
  </si>
  <si>
    <t>VVS1</t>
  </si>
  <si>
    <t>VVS2</t>
  </si>
  <si>
    <t>50</t>
  </si>
  <si>
    <t>2.50</t>
  </si>
  <si>
    <t>70</t>
  </si>
  <si>
    <t>Mb 90030144</t>
  </si>
  <si>
    <t>Total</t>
  </si>
  <si>
    <t>T.Cost</t>
  </si>
  <si>
    <t>+11-14</t>
  </si>
  <si>
    <t>3/8-45-49</t>
  </si>
  <si>
    <t>1/2</t>
  </si>
  <si>
    <t>Rounds 4A-4B Collection</t>
  </si>
  <si>
    <t>Rounds 5-Collection</t>
  </si>
  <si>
    <t>1/4-1/3</t>
  </si>
  <si>
    <t>ANTONIA STAR CERTIFIED SINGLE DIAMONDS IN STOCK</t>
  </si>
  <si>
    <t>1.98mm</t>
  </si>
  <si>
    <t>1.95-2.05mm</t>
  </si>
  <si>
    <t>2.05-2.15mm</t>
  </si>
  <si>
    <t>2.15-2.25mm</t>
  </si>
  <si>
    <t>2.25-2.35mm</t>
  </si>
  <si>
    <t>2.35-2.45mm</t>
  </si>
  <si>
    <t>2.45-2.55mm</t>
  </si>
  <si>
    <t>2.55-2.65mm</t>
  </si>
  <si>
    <t>628457073 F SI2</t>
  </si>
  <si>
    <t>1PC</t>
  </si>
  <si>
    <t>+11</t>
  </si>
  <si>
    <t>Rounds</t>
  </si>
  <si>
    <t>Round EF SI</t>
  </si>
  <si>
    <t>Round EF VS-SI</t>
  </si>
  <si>
    <t>+13</t>
  </si>
  <si>
    <t>-7.50MM</t>
  </si>
  <si>
    <t>Round TTLC</t>
  </si>
  <si>
    <t>1.80-1.90</t>
  </si>
  <si>
    <t>1.90-2.00</t>
  </si>
  <si>
    <t>2.00-2.10</t>
  </si>
  <si>
    <t>2.10-2.20</t>
  </si>
  <si>
    <t>2.20-2.30</t>
  </si>
  <si>
    <t>2.30-2.40</t>
  </si>
  <si>
    <t>2.40-2.50</t>
  </si>
  <si>
    <t>2.50-2.60</t>
  </si>
  <si>
    <t>2.60-2.70</t>
  </si>
  <si>
    <t>2.70-2.80</t>
  </si>
  <si>
    <t>2.80-2.90</t>
  </si>
  <si>
    <t>2.90-3.00</t>
  </si>
  <si>
    <t>3.00-3.10</t>
  </si>
  <si>
    <t>3.90-4.09</t>
  </si>
  <si>
    <t>4.10-4.29</t>
  </si>
  <si>
    <t>4.30-4.49</t>
  </si>
  <si>
    <t>4.50-4.69</t>
  </si>
  <si>
    <t>4.70-4.89</t>
  </si>
  <si>
    <t>Round 4A JKL Shade</t>
  </si>
  <si>
    <t>-11</t>
  </si>
  <si>
    <t>3.50-3.70</t>
  </si>
  <si>
    <t>4.80-5.10</t>
  </si>
  <si>
    <t>5.50-5.60</t>
  </si>
  <si>
    <t>6.00</t>
  </si>
  <si>
    <t>Mixed Fncy Shape</t>
  </si>
  <si>
    <t>1/10</t>
  </si>
  <si>
    <t>Can -1</t>
  </si>
  <si>
    <t>Can -2</t>
  </si>
  <si>
    <t>Can -3</t>
  </si>
  <si>
    <t>Golden A</t>
  </si>
  <si>
    <t>Golden B</t>
  </si>
  <si>
    <t>Pink</t>
  </si>
  <si>
    <t>LCAN</t>
  </si>
  <si>
    <t>Dead Normal</t>
  </si>
  <si>
    <t>Emeralds</t>
  </si>
  <si>
    <t>Broken / Dead Value Parcel</t>
  </si>
  <si>
    <t>Value USD</t>
  </si>
  <si>
    <t>Lk Lab Bill yet to make*</t>
  </si>
  <si>
    <t>Round KLM VS</t>
  </si>
  <si>
    <t>Jewellery Ready</t>
  </si>
  <si>
    <t>Certified Solitaire</t>
  </si>
  <si>
    <t>Loose Diamonds</t>
  </si>
  <si>
    <t>In Manufacturing Process</t>
  </si>
  <si>
    <t>LOOSE DIAMONDS STOCK</t>
  </si>
  <si>
    <t>Avg</t>
  </si>
  <si>
    <t>Pcs</t>
  </si>
  <si>
    <t>Col-Cla</t>
  </si>
  <si>
    <t>Cost/Ct</t>
  </si>
  <si>
    <t>Comment</t>
  </si>
  <si>
    <t>Hold for Nks.9</t>
  </si>
  <si>
    <t>Hold for Nk.7</t>
  </si>
  <si>
    <t>+13-14</t>
  </si>
  <si>
    <t>+12.50-13</t>
  </si>
  <si>
    <t>+11.50-13</t>
  </si>
  <si>
    <t>+11-12</t>
  </si>
  <si>
    <t>Loose Diamonds in Manufacturing Process</t>
  </si>
  <si>
    <t>Pears</t>
  </si>
  <si>
    <t>Ovals</t>
  </si>
  <si>
    <t>Marquise</t>
  </si>
  <si>
    <t>Fancy Braclet No.7</t>
  </si>
  <si>
    <t>Total Cts : 8.33/Pcs : 63</t>
  </si>
  <si>
    <t>Fancy Braclet No.8</t>
  </si>
  <si>
    <t>Princess</t>
  </si>
  <si>
    <t>Total Cts : 12.43/Pcs : 41</t>
  </si>
  <si>
    <t>Fancy Braclet No.9</t>
  </si>
  <si>
    <t>Pears Fcy Yw</t>
  </si>
  <si>
    <t>1/10-1/6</t>
  </si>
  <si>
    <t>Total Cts : 6.90 / Pcs : 36</t>
  </si>
  <si>
    <t>Fancy Braclet No.10</t>
  </si>
  <si>
    <t>Total Cts : 6.81 / Pcs : 38</t>
  </si>
  <si>
    <t>Fancy Braclet No.11</t>
  </si>
  <si>
    <t>Total Cts : 10.82 / Pcs : 57</t>
  </si>
  <si>
    <t>Oval Fcy Yw</t>
  </si>
  <si>
    <t>Fancy Braclet No.12</t>
  </si>
  <si>
    <t>Total Cts : 8.32 / Pcs : 49</t>
  </si>
  <si>
    <t>Fancy Braclet No.13</t>
  </si>
  <si>
    <t>Total Cts : 8.66/ Pcs : 51</t>
  </si>
  <si>
    <t>Mixed Fncy</t>
  </si>
  <si>
    <t>3/4</t>
  </si>
  <si>
    <r>
      <t xml:space="preserve">Round Necklace </t>
    </r>
    <r>
      <rPr>
        <b/>
        <sz val="10"/>
        <color theme="1"/>
        <rFont val="Cambria"/>
        <family val="1"/>
      </rPr>
      <t>No.9</t>
    </r>
  </si>
  <si>
    <r>
      <t xml:space="preserve">Round Necklace </t>
    </r>
    <r>
      <rPr>
        <b/>
        <sz val="10"/>
        <color theme="1"/>
        <rFont val="Cambria"/>
        <family val="1"/>
      </rPr>
      <t>No.8</t>
    </r>
  </si>
  <si>
    <r>
      <t xml:space="preserve">Round Necklace </t>
    </r>
    <r>
      <rPr>
        <b/>
        <sz val="10"/>
        <color theme="1"/>
        <rFont val="Cambria"/>
        <family val="1"/>
      </rPr>
      <t>No.7</t>
    </r>
  </si>
  <si>
    <t>Lab Grown Diamonds</t>
  </si>
  <si>
    <t>ITEM</t>
  </si>
  <si>
    <t>LAB</t>
  </si>
  <si>
    <t>Tennis Braclet -Rounds</t>
  </si>
  <si>
    <t>YTC</t>
  </si>
  <si>
    <t>Size Avg.</t>
  </si>
  <si>
    <t>Avg Pts</t>
  </si>
  <si>
    <t>No.Pcs</t>
  </si>
  <si>
    <t>Diam Cts</t>
  </si>
  <si>
    <t>Col - Clarity</t>
  </si>
  <si>
    <t>LOT</t>
  </si>
  <si>
    <t>Diam Total</t>
  </si>
  <si>
    <t>+9.50-10</t>
  </si>
  <si>
    <t>EF VVS-VS</t>
  </si>
  <si>
    <t>CTH</t>
  </si>
  <si>
    <t>+10.50-11</t>
  </si>
  <si>
    <t>CTT</t>
  </si>
  <si>
    <t>+12-12.50</t>
  </si>
  <si>
    <t>Tennis Braclet - U Design</t>
  </si>
  <si>
    <t>Tennis Necklace -Rounds</t>
  </si>
  <si>
    <t>CQU</t>
  </si>
  <si>
    <t>+13.50-14</t>
  </si>
  <si>
    <t>CQT</t>
  </si>
  <si>
    <t>CQX</t>
  </si>
  <si>
    <t>+8.50-9</t>
  </si>
  <si>
    <t>CQZ</t>
  </si>
  <si>
    <t>LAB GROWN JEWELLERY</t>
  </si>
  <si>
    <t>Antonia Star Summary as on 31 Mar 2026</t>
  </si>
  <si>
    <t>Avg/Ct</t>
  </si>
  <si>
    <t>Natural Diamonds- (1)</t>
  </si>
  <si>
    <t>Lab Grown Diamonds-(2)</t>
  </si>
  <si>
    <t>Final Grand Total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</si>
</sst>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1009]#,##0.00"/>
    <numFmt numFmtId="165" formatCode="dd/mmm/yy"/>
    <numFmt numFmtId="166" formatCode="0.000"/>
    <numFmt numFmtId="167" formatCode="&quot;$&quot;#,##0.0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0"/>
      <name val="Cambria"/>
      <family val="1"/>
    </font>
    <font>
      <sz val="9"/>
      <color theme="1"/>
      <name val="Cambria"/>
      <family val="1"/>
    </font>
    <font>
      <b/>
      <sz val="9"/>
      <color theme="1"/>
      <name val="Cambria"/>
      <family val="1"/>
    </font>
    <font>
      <u/>
      <sz val="10"/>
      <color indexed="12"/>
      <name val="Arial"/>
      <family val="2"/>
    </font>
    <font>
      <sz val="10"/>
      <name val="Cambria"/>
      <family val="1"/>
    </font>
    <font>
      <b/>
      <sz val="10"/>
      <color theme="1" tint="4.9989318521683403E-2"/>
      <name val="Cambria"/>
      <family val="1"/>
    </font>
    <font>
      <b/>
      <sz val="11"/>
      <color theme="1"/>
      <name val="Cambria"/>
      <family val="1"/>
    </font>
    <font>
      <sz val="10"/>
      <color theme="1" tint="4.9989318521683403E-2"/>
      <name val="Cambria"/>
      <family val="1"/>
    </font>
    <font>
      <sz val="10"/>
      <color rgb="FFFF0000"/>
      <name val="Cambria"/>
      <family val="1"/>
    </font>
    <font>
      <sz val="10"/>
      <color rgb="FFC8000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</fills>
  <borders count="39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</cellStyleXfs>
  <cellXfs count="210">
    <xf numFmtId="0" fontId="0" fillId="0" borderId="0" xfId="0"/>
    <xf numFmtId="0" fontId="1" fillId="0" borderId="0" xfId="0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49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/>
    </xf>
    <xf numFmtId="164" fontId="1" fillId="2" borderId="11" xfId="0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5" xfId="1" applyFont="1" applyFill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2" fontId="7" fillId="0" borderId="5" xfId="0" applyNumberFormat="1" applyFont="1" applyBorder="1" applyAlignment="1" applyProtection="1">
      <alignment horizontal="center" vertical="center" wrapText="1"/>
      <protection locked="0"/>
    </xf>
    <xf numFmtId="2" fontId="7" fillId="0" borderId="5" xfId="0" applyNumberFormat="1" applyFont="1" applyBorder="1" applyAlignment="1" applyProtection="1">
      <alignment horizontal="center" vertical="center"/>
      <protection locked="0"/>
    </xf>
    <xf numFmtId="164" fontId="3" fillId="0" borderId="6" xfId="0" applyNumberFormat="1" applyFont="1" applyBorder="1" applyAlignment="1" applyProtection="1">
      <alignment horizontal="center" vertical="center" wrapText="1"/>
      <protection locked="0"/>
    </xf>
    <xf numFmtId="165" fontId="7" fillId="0" borderId="5" xfId="0" applyNumberFormat="1" applyFont="1" applyBorder="1" applyAlignment="1" applyProtection="1">
      <alignment horizontal="center" vertical="center"/>
      <protection locked="0"/>
    </xf>
    <xf numFmtId="4" fontId="3" fillId="0" borderId="5" xfId="0" applyNumberFormat="1" applyFont="1" applyBorder="1" applyAlignment="1" applyProtection="1">
      <alignment horizontal="center" vertical="center"/>
      <protection locked="0"/>
    </xf>
    <xf numFmtId="10" fontId="3" fillId="0" borderId="5" xfId="0" applyNumberFormat="1" applyFont="1" applyBorder="1" applyAlignment="1" applyProtection="1">
      <alignment horizontal="center" vertical="center"/>
      <protection locked="0"/>
    </xf>
    <xf numFmtId="1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" xfId="1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 wrapText="1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4" fontId="3" fillId="0" borderId="2" xfId="0" applyNumberFormat="1" applyFont="1" applyBorder="1" applyAlignment="1" applyProtection="1">
      <alignment horizontal="center" vertical="center" wrapText="1"/>
      <protection locked="0"/>
    </xf>
    <xf numFmtId="10" fontId="3" fillId="0" borderId="2" xfId="0" applyNumberFormat="1" applyFont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5" fontId="1" fillId="0" borderId="5" xfId="0" applyNumberFormat="1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1" applyFont="1" applyFill="1" applyBorder="1" applyAlignment="1" applyProtection="1">
      <alignment horizontal="center" vertical="center"/>
      <protection locked="0"/>
    </xf>
    <xf numFmtId="49" fontId="1" fillId="0" borderId="5" xfId="0" applyNumberFormat="1" applyFont="1" applyBorder="1" applyAlignment="1" applyProtection="1">
      <alignment horizontal="center" vertical="center"/>
      <protection locked="0"/>
    </xf>
    <xf numFmtId="2" fontId="1" fillId="0" borderId="5" xfId="0" applyNumberFormat="1" applyFont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 vertical="center"/>
    </xf>
    <xf numFmtId="49" fontId="3" fillId="4" borderId="11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4" fontId="3" fillId="0" borderId="9" xfId="0" applyNumberFormat="1" applyFont="1" applyBorder="1" applyAlignment="1" applyProtection="1">
      <alignment horizontal="center" vertical="center" wrapText="1"/>
      <protection locked="0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2" fontId="1" fillId="4" borderId="11" xfId="0" applyNumberFormat="1" applyFont="1" applyFill="1" applyBorder="1" applyAlignment="1">
      <alignment horizontal="center" vertical="center"/>
    </xf>
    <xf numFmtId="164" fontId="3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4" fontId="7" fillId="0" borderId="14" xfId="0" applyNumberFormat="1" applyFont="1" applyBorder="1" applyAlignment="1">
      <alignment horizontal="center" vertical="center"/>
    </xf>
    <xf numFmtId="4" fontId="7" fillId="0" borderId="23" xfId="0" applyNumberFormat="1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0" fillId="4" borderId="27" xfId="0" applyFill="1" applyBorder="1"/>
    <xf numFmtId="166" fontId="1" fillId="0" borderId="5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/>
    </xf>
    <xf numFmtId="164" fontId="1" fillId="0" borderId="29" xfId="0" applyNumberFormat="1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left" vertical="center"/>
    </xf>
    <xf numFmtId="0" fontId="1" fillId="0" borderId="31" xfId="0" applyFont="1" applyBorder="1" applyAlignment="1">
      <alignment horizontal="center" vertical="center"/>
    </xf>
    <xf numFmtId="166" fontId="1" fillId="0" borderId="31" xfId="0" applyNumberFormat="1" applyFont="1" applyBorder="1" applyAlignment="1">
      <alignment horizontal="center" vertical="center"/>
    </xf>
    <xf numFmtId="164" fontId="1" fillId="0" borderId="32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34" xfId="0" applyFont="1" applyBorder="1" applyAlignment="1">
      <alignment horizontal="center" vertical="center"/>
    </xf>
    <xf numFmtId="166" fontId="1" fillId="0" borderId="34" xfId="0" applyNumberFormat="1" applyFont="1" applyBorder="1" applyAlignment="1">
      <alignment horizontal="center" vertical="center"/>
    </xf>
    <xf numFmtId="2" fontId="1" fillId="0" borderId="34" xfId="0" applyNumberFormat="1" applyFon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2" fontId="1" fillId="0" borderId="31" xfId="0" applyNumberFormat="1" applyFont="1" applyBorder="1" applyAlignment="1">
      <alignment horizontal="center" vertical="center"/>
    </xf>
    <xf numFmtId="49" fontId="1" fillId="0" borderId="31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 vertical="center"/>
    </xf>
    <xf numFmtId="49" fontId="1" fillId="0" borderId="34" xfId="0" applyNumberFormat="1" applyFont="1" applyBorder="1" applyAlignment="1">
      <alignment horizontal="center" vertical="center"/>
    </xf>
    <xf numFmtId="166" fontId="1" fillId="0" borderId="25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7" xfId="0" applyFont="1" applyBorder="1" applyAlignment="1">
      <alignment horizontal="left" vertical="center"/>
    </xf>
    <xf numFmtId="164" fontId="2" fillId="0" borderId="38" xfId="0" applyNumberFormat="1" applyFont="1" applyBorder="1" applyAlignment="1">
      <alignment horizontal="center" vertical="center"/>
    </xf>
    <xf numFmtId="164" fontId="3" fillId="0" borderId="31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164" fontId="5" fillId="5" borderId="5" xfId="0" applyNumberFormat="1" applyFont="1" applyFill="1" applyBorder="1" applyAlignment="1">
      <alignment horizontal="center" vertical="center"/>
    </xf>
    <xf numFmtId="164" fontId="5" fillId="5" borderId="8" xfId="0" applyNumberFormat="1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67" fontId="3" fillId="0" borderId="6" xfId="0" applyNumberFormat="1" applyFont="1" applyBorder="1" applyAlignment="1">
      <alignment horizontal="center" vertical="center"/>
    </xf>
    <xf numFmtId="167" fontId="8" fillId="0" borderId="6" xfId="0" applyNumberFormat="1" applyFont="1" applyBorder="1" applyAlignment="1">
      <alignment horizontal="center" vertical="center"/>
    </xf>
    <xf numFmtId="167" fontId="3" fillId="0" borderId="3" xfId="0" applyNumberFormat="1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167" fontId="3" fillId="0" borderId="9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1" fillId="0" borderId="5" xfId="2" applyFont="1" applyFill="1" applyBorder="1" applyAlignment="1" applyProtection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166" fontId="1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2" fontId="7" fillId="0" borderId="5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12" fillId="0" borderId="5" xfId="2" applyFont="1" applyFill="1" applyBorder="1" applyAlignment="1" applyProtection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1" fillId="0" borderId="8" xfId="2" applyFont="1" applyFill="1" applyBorder="1" applyAlignment="1" applyProtection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166" fontId="1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11" fillId="0" borderId="2" xfId="2" applyFont="1" applyFill="1" applyBorder="1" applyAlignment="1" applyProtection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166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167" fontId="3" fillId="0" borderId="12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164" fontId="7" fillId="0" borderId="14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164" fontId="7" fillId="0" borderId="23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164" fontId="2" fillId="6" borderId="13" xfId="0" applyNumberFormat="1" applyFont="1" applyFill="1" applyBorder="1" applyAlignment="1">
      <alignment horizontal="center" vertical="center"/>
    </xf>
  </cellXfs>
  <cellStyles count="3">
    <cellStyle name="Hyperlink" xfId="1" builtinId="8"/>
    <cellStyle name="Hyperlink 2" xfId="2" xr:uid="{14392ED2-3F90-4CEB-825F-C42A5FA944FB}"/>
    <cellStyle name="Normal" xfId="0" builtinId="0"/>
  </cellStyles>
  <dxfs count="1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/>
        <top/>
        <bottom/>
        <vertical style="hair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numFmt numFmtId="167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mbria"/>
        <family val="1"/>
        <scheme val="none"/>
      </font>
      <numFmt numFmtId="164" formatCode="[$$-1009]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mbria"/>
        <family val="1"/>
        <scheme val="none"/>
      </font>
      <numFmt numFmtId="166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mbria"/>
        <family val="1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hair">
          <color indexed="64"/>
        </right>
        <top/>
        <bottom/>
        <vertical style="hair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border outline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numFmt numFmtId="164" formatCode="[$$-1009]#,##0.00"/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/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numFmt numFmtId="164" formatCode="[$$-1009]#,##0.00"/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numFmt numFmtId="164" formatCode="[$$-1009]#,##0.00"/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/>
        <top style="hair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numFmt numFmtId="166" formatCode="0.000"/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top style="thin">
          <color indexed="64"/>
        </top>
      </border>
    </dxf>
    <dxf>
      <font>
        <b/>
      </font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numFmt numFmtId="164" formatCode="[$$-1009]#,##0.00"/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numFmt numFmtId="164" formatCode="[$$-1009]#,##0.00"/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numFmt numFmtId="164" formatCode="[$$-1009]#,##0.00"/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numFmt numFmtId="164" formatCode="[$$-1009]#,##0.00"/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/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auto="1"/>
        </top>
        <bottom style="hair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fill>
        <patternFill patternType="solid">
          <fgColor indexed="64"/>
          <bgColor theme="8" tint="0.59999389629810485"/>
        </patternFill>
      </fill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numFmt numFmtId="164" formatCode="[$$-1009]#,##0.00"/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numFmt numFmtId="164" formatCode="[$$-1009]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numFmt numFmtId="2" formatCode="0.00"/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border>
        <top style="thin">
          <color indexed="64"/>
        </top>
      </border>
    </dxf>
    <dxf>
      <fill>
        <patternFill patternType="solid">
          <fgColor indexed="64"/>
          <bgColor theme="8" tint="0.59999389629810485"/>
        </patternFill>
      </fill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numFmt numFmtId="164" formatCode="[$$-1009]#,##0.00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numFmt numFmtId="164" formatCode="[$$-1009]#,##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numFmt numFmtId="164" formatCode="[$$-1009]#,##0.00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numFmt numFmtId="164" formatCode="[$$-1009]#,##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numFmt numFmtId="164" formatCode="[$$-1009]#,##0.00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numFmt numFmtId="164" formatCode="[$$-1009]#,##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numFmt numFmtId="164" formatCode="[$$-1009]#,##0.00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numFmt numFmtId="164" formatCode="[$$-1009]#,##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numFmt numFmtId="164" formatCode="[$$-1009]#,##0.00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numFmt numFmtId="164" formatCode="[$$-1009]#,##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numFmt numFmtId="2" formatCode="0.00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name val="Cambria"/>
        <family val="1"/>
        <scheme val="none"/>
      </font>
      <fill>
        <patternFill patternType="solid">
          <fgColor indexed="64"/>
          <bgColor theme="8" tint="0.79998168889431442"/>
        </patternFill>
      </fill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numFmt numFmtId="164" formatCode="[$$-1009]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numFmt numFmtId="164" formatCode="[$$-1009]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color auto="1"/>
        <name val="Cambria"/>
        <family val="1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mbria"/>
        <family val="1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numFmt numFmtId="164" formatCode="[$$-1009]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numFmt numFmtId="164" formatCode="[$$-1009]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color auto="1"/>
        <name val="Cambria"/>
        <family val="1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mbria"/>
        <family val="1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559C56B-06B7-43C3-B6D9-6CDA042A1556}" name="Table4" displayName="Table4" ref="B3:D8" totalsRowCount="1" headerRowDxfId="172" dataDxfId="170" totalsRowDxfId="168" headerRowBorderDxfId="171" tableBorderDxfId="169" totalsRowBorderDxfId="167">
  <autoFilter ref="B3:D7" xr:uid="{E559C56B-06B7-43C3-B6D9-6CDA042A1556}"/>
  <tableColumns count="3">
    <tableColumn id="1" xr3:uid="{4052951F-5A31-4E27-930C-E8A59AB7D8F9}" name="Description" totalsRowLabel="Natural Diamonds- (1)" dataDxfId="166" totalsRowDxfId="165"/>
    <tableColumn id="2" xr3:uid="{1CF6C513-CADF-4F44-8854-CA4CE082F6BC}" name="Carats" totalsRowFunction="sum" dataDxfId="164" totalsRowDxfId="163"/>
    <tableColumn id="3" xr3:uid="{376DBAC2-1490-4AC8-9178-46B542D6F5D0}" name="Value USD" totalsRowFunction="sum" dataDxfId="162" totalsRowDxfId="161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EBF9B84-3DEB-4738-8BDF-01F8F3F79EC7}" name="Table47" displayName="Table47" ref="B11:D14" totalsRowCount="1" headerRowDxfId="160" dataDxfId="158" totalsRowDxfId="156" headerRowBorderDxfId="159" tableBorderDxfId="157" totalsRowBorderDxfId="155">
  <autoFilter ref="B11:D13" xr:uid="{7EBF9B84-3DEB-4738-8BDF-01F8F3F79EC7}"/>
  <tableColumns count="3">
    <tableColumn id="1" xr3:uid="{BE97C2C8-A6FD-4ABA-AF84-64505137F96D}" name="Description" totalsRowLabel="Lab Grown Diamonds-(2)" dataDxfId="154" totalsRowDxfId="153"/>
    <tableColumn id="2" xr3:uid="{E1C8F62D-55B6-4928-B533-92E9C04482B3}" name="Carats" totalsRowFunction="sum" dataDxfId="152" totalsRowDxfId="151"/>
    <tableColumn id="3" xr3:uid="{EE9D9F5A-E042-441D-81D1-097977208043}" name="Value USD" totalsRowFunction="sum" dataDxfId="150" totalsRowDxfId="149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41ADBF-AA0C-460F-BD2E-155B4AFA5EDB}" name="Table1" displayName="Table1" ref="A3:K113" totalsRowCount="1" headerRowDxfId="148" dataDxfId="146" totalsRowDxfId="144" headerRowBorderDxfId="147" tableBorderDxfId="145" totalsRowBorderDxfId="143">
  <autoFilter ref="A3:K112" xr:uid="{9941ADBF-AA0C-460F-BD2E-155B4AFA5EDB}"/>
  <tableColumns count="11">
    <tableColumn id="1" xr3:uid="{D032997A-1BEE-40E0-8876-BB45B792B7D3}" name="Sr" totalsRowFunction="count" dataDxfId="142" totalsRowDxfId="141"/>
    <tableColumn id="10" xr3:uid="{1C199054-799A-43FA-86D2-EDF03B49CD43}" name="Certificate" dataDxfId="140" totalsRowDxfId="139"/>
    <tableColumn id="2" xr3:uid="{A8DE3C94-EEBC-4BD7-A95F-824514395A78}" name="Jewellery Items" dataDxfId="138" totalsRowDxfId="137"/>
    <tableColumn id="11" xr3:uid="{1A4A4D74-C4F1-46FD-9D9F-7218056F68F3}" name="Size" dataDxfId="136" totalsRowDxfId="135"/>
    <tableColumn id="3" xr3:uid="{BB3CA000-53CF-491E-B0F1-1A4F7612D788}" name="Diam Carats" totalsRowFunction="sum" dataDxfId="134" totalsRowDxfId="133"/>
    <tableColumn id="4" xr3:uid="{8C2721DD-05CD-4D55-A8C5-A0D3748E0BF4}" name="Diamond Cost" totalsRowFunction="sum" dataDxfId="132" totalsRowDxfId="131"/>
    <tableColumn id="5" xr3:uid="{3EB3ECD7-D4A7-4C6B-94D5-F9B614F669A6}" name="Gold Gms" totalsRowFunction="sum" dataDxfId="130" totalsRowDxfId="129"/>
    <tableColumn id="6" xr3:uid="{E5B0B7EC-335A-422F-A0B2-58021C233DE5}" name="Gold Amt" totalsRowFunction="sum" dataDxfId="128" totalsRowDxfId="127"/>
    <tableColumn id="7" xr3:uid="{A4BD8B38-264E-4D54-B5FA-9168DB8C941C}" name="Labour Amt" totalsRowFunction="sum" dataDxfId="126" totalsRowDxfId="125"/>
    <tableColumn id="8" xr3:uid="{88FB24B3-E7AF-4A8E-9F4D-795F6722E29A}" name="Cert Expense" totalsRowFunction="sum" dataDxfId="124" totalsRowDxfId="123"/>
    <tableColumn id="9" xr3:uid="{F2CE400E-8836-4B87-A9D6-0AAE499FD020}" name="Total Cost" totalsRowFunction="sum" dataDxfId="122" totalsRowDxfId="121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D44E778-9DBF-4373-932D-ECE8CC7F5E13}" name="Table2" displayName="Table2" ref="A2:V82" totalsRowCount="1" headerRowDxfId="120" dataDxfId="118" totalsRowDxfId="116" headerRowBorderDxfId="119" tableBorderDxfId="117" totalsRowBorderDxfId="115">
  <autoFilter ref="A2:V81" xr:uid="{6D44E778-9DBF-4373-932D-ECE8CC7F5E13}"/>
  <tableColumns count="22">
    <tableColumn id="1" xr3:uid="{A2A06A67-E410-45BC-ACD0-C04DE120DBC5}" name="SR" totalsRowLabel="Total" dataDxfId="114" totalsRowDxfId="113"/>
    <tableColumn id="2" xr3:uid="{3F38F0E6-580A-4E9A-9DE0-FBADDB788473}" name="Parcel" dataDxfId="112" totalsRowDxfId="111"/>
    <tableColumn id="3" xr3:uid="{6743B7E4-BE56-4C7F-B586-2694B709DCC2}" name="Certificate" totalsRowFunction="count" dataDxfId="110" totalsRowDxfId="109"/>
    <tableColumn id="4" xr3:uid="{816E7A37-08F0-402B-A20E-5BFF18A56E63}" name="Shape" dataDxfId="108" totalsRowDxfId="107"/>
    <tableColumn id="5" xr3:uid="{174005D6-EAD4-4721-A57F-E3493FFB1923}" name="Lab" dataDxfId="106" totalsRowDxfId="105"/>
    <tableColumn id="6" xr3:uid="{5705FB06-6A07-4114-A773-7D916E97F6D1}" name="Size" dataDxfId="104" totalsRowDxfId="103"/>
    <tableColumn id="7" xr3:uid="{8171BCD7-0865-40E2-92DA-F82594E50CED}" name="Cts" totalsRowFunction="sum" dataDxfId="102" totalsRowDxfId="101"/>
    <tableColumn id="8" xr3:uid="{82190279-ABD7-4E41-AA79-C645EECA3C3F}" name="Color" dataDxfId="100" totalsRowDxfId="99"/>
    <tableColumn id="9" xr3:uid="{071EB47E-509B-417A-9F68-50207D3396F3}" name="Clarity" dataDxfId="98" totalsRowDxfId="97"/>
    <tableColumn id="10" xr3:uid="{678457AB-0179-42BA-96F6-FB2240D07691}" name="Cut" dataDxfId="96" totalsRowDxfId="95"/>
    <tableColumn id="11" xr3:uid="{A6061B5C-1C3A-4CDA-9BD5-B3896BFAD3BA}" name="Polish" dataDxfId="94" totalsRowDxfId="93"/>
    <tableColumn id="12" xr3:uid="{D65A8DA4-6E45-4959-B64B-15FC1A49B80A}" name="Symm" dataDxfId="92" totalsRowDxfId="91"/>
    <tableColumn id="13" xr3:uid="{FF9F67F5-9E99-44C6-B9BA-854CDF7EC492}" name="Fluro" dataDxfId="90" totalsRowDxfId="89"/>
    <tableColumn id="14" xr3:uid="{46D82C41-200D-45D7-85A0-5B514D47AAE7}" name="Ms 1" dataDxfId="88" totalsRowDxfId="87"/>
    <tableColumn id="15" xr3:uid="{069073E2-8DE6-4FC9-8415-C7CDE8532623}" name="Ms 2" dataDxfId="86" totalsRowDxfId="85"/>
    <tableColumn id="16" xr3:uid="{FABA4055-1856-4DDC-BE0C-7CE4F20A6F52}" name="Ms 3" dataDxfId="84" totalsRowDxfId="83"/>
    <tableColumn id="17" xr3:uid="{28B5BEBD-84A1-4318-ADEA-AAE4C5BE4317}" name="Tab" dataDxfId="82" totalsRowDxfId="81"/>
    <tableColumn id="18" xr3:uid="{65F91D5F-4CFD-47F3-8107-94C3554A9D3E}" name="T.Dpth" dataDxfId="80" totalsRowDxfId="79"/>
    <tableColumn id="19" xr3:uid="{7A77A6EF-E71F-4A26-9EAD-85BC27A53C19}" name="Cst/ct" dataDxfId="78" totalsRowDxfId="77"/>
    <tableColumn id="20" xr3:uid="{C49E02A9-10F4-4BAC-8835-D4F9A5AAA7A9}" name="Cost %" dataDxfId="76" totalsRowDxfId="75"/>
    <tableColumn id="21" xr3:uid="{1EDA85C7-AC5B-4984-828A-2C19E0C6C343}" name="Total Cost $" totalsRowFunction="sum" dataDxfId="74" totalsRowDxfId="73">
      <calculatedColumnFormula>S3*G3</calculatedColumnFormula>
    </tableColumn>
    <tableColumn id="22" xr3:uid="{FFC3F28B-ED61-4344-8B2B-ED186DFBB6FF}" name="Comment" dataDxfId="72" totalsRowDxfId="71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08CFD4A-E3C0-4817-8E62-C0986411DF4B}" name="Table3" displayName="Table3" ref="B3:G94" totalsRowCount="1" headerRowDxfId="70" dataDxfId="68" totalsRowDxfId="66" headerRowBorderDxfId="69" tableBorderDxfId="67" totalsRowBorderDxfId="65">
  <autoFilter ref="B3:G93" xr:uid="{608CFD4A-E3C0-4817-8E62-C0986411DF4B}"/>
  <tableColumns count="6">
    <tableColumn id="1" xr3:uid="{3A64B821-F297-44ED-861E-ED6D6FFCC7A8}" name="Sr" totalsRowLabel="Total" dataDxfId="64" totalsRowDxfId="63"/>
    <tableColumn id="2" xr3:uid="{C5D0AF7C-5E6F-4699-9727-8953B24B3A3F}" name="Description" dataDxfId="62" totalsRowDxfId="61"/>
    <tableColumn id="3" xr3:uid="{1DA39B58-8F98-428B-912C-38DCDDD8262C}" name="Size" dataDxfId="60" totalsRowDxfId="59"/>
    <tableColumn id="4" xr3:uid="{87A64F87-49A2-4CBF-BF68-543257F22179}" name="Carats" totalsRowFunction="sum" dataDxfId="58" totalsRowDxfId="57"/>
    <tableColumn id="5" xr3:uid="{73837C94-5A70-43C5-A504-C05629F5571A}" name="Per/ct" totalsRowFunction="sum" dataDxfId="56" totalsRowDxfId="55"/>
    <tableColumn id="6" xr3:uid="{3EF88672-5B7B-41DB-A6C3-D107D3DD13C7}" name="Total $" totalsRowFunction="sum" dataDxfId="54" totalsRowDxfId="53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DF70C77-FA15-4B02-8513-B8BD05ABBD7D}" name="Table5" displayName="Table5" ref="B2:K48" totalsRowCount="1" headerRowDxfId="52" dataDxfId="50" totalsRowDxfId="48" headerRowBorderDxfId="51" tableBorderDxfId="49" totalsRowBorderDxfId="47">
  <autoFilter ref="B2:K47" xr:uid="{5DF70C77-FA15-4B02-8513-B8BD05ABBD7D}"/>
  <tableColumns count="10">
    <tableColumn id="1" xr3:uid="{338FAA2A-4E0A-4E15-93E4-BFB16216EBA9}" name="Sr" totalsRowFunction="count" dataDxfId="46" totalsRowDxfId="45"/>
    <tableColumn id="2" xr3:uid="{DBF04431-FB98-438B-AF52-87E09286A89F}" name="Description" dataDxfId="44" totalsRowDxfId="43"/>
    <tableColumn id="3" xr3:uid="{6A6439B7-67FA-4B5E-9FAC-DC0C62AC909D}" name="Shape" dataDxfId="42" totalsRowDxfId="41"/>
    <tableColumn id="4" xr3:uid="{41997A4A-6926-4E71-9E00-A1ED61F290F6}" name="Size" dataDxfId="40" totalsRowDxfId="39"/>
    <tableColumn id="5" xr3:uid="{F2C87D71-B8C3-457C-99CE-6CF914B33881}" name="Avg" dataDxfId="38" totalsRowDxfId="37">
      <calculatedColumnFormula>H3/G3</calculatedColumnFormula>
    </tableColumn>
    <tableColumn id="6" xr3:uid="{DCC114AA-112D-4C56-9073-01FE496A8C2F}" name="Pcs" totalsRowFunction="sum" dataDxfId="36" totalsRowDxfId="35"/>
    <tableColumn id="7" xr3:uid="{62CE208B-60FA-4511-93C9-25B16104BC0A}" name="Carats" totalsRowFunction="sum" dataDxfId="34" totalsRowDxfId="33"/>
    <tableColumn id="8" xr3:uid="{30B92426-C4DA-4F8C-B089-BA8BD8C93EA0}" name="Col-Cla" dataDxfId="32" totalsRowDxfId="31"/>
    <tableColumn id="9" xr3:uid="{BD900BDD-B78A-4AEA-A6DD-5C07836474D2}" name="Cost/Ct" dataDxfId="30" totalsRowDxfId="29"/>
    <tableColumn id="10" xr3:uid="{EB227C20-57B8-4547-A33B-77D0EFDA8CB6}" name="Total Cost" totalsRowFunction="sum" dataDxfId="28" totalsRowDxfId="27">
      <calculatedColumnFormula>J3*H3</calculatedColumnFormula>
    </tableColumn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899F440-E2BA-4248-84FA-7415C4484B2A}" name="Table7" displayName="Table7" ref="A2:K17" totalsRowCount="1" headerRowDxfId="26" totalsRowDxfId="23" headerRowBorderDxfId="25" tableBorderDxfId="24" totalsRowBorderDxfId="22">
  <autoFilter ref="A2:K16" xr:uid="{2899F440-E2BA-4248-84FA-7415C4484B2A}"/>
  <tableColumns count="11">
    <tableColumn id="1" xr3:uid="{1CE7720A-AD28-42F7-9C5E-08DB0C676D9E}" name="Sr" totalsRowLabel="Total" dataDxfId="21" totalsRowDxfId="20"/>
    <tableColumn id="2" xr3:uid="{BC1ADCF1-8A3F-42A6-822C-A76BACA31D08}" name="ITEM" dataDxfId="19" totalsRowDxfId="18"/>
    <tableColumn id="3" xr3:uid="{CD5296C6-3354-418B-8E09-C543BEF281FC}" name="LAB" dataDxfId="17" totalsRowDxfId="16" dataCellStyle="Hyperlink 2" totalsRowCellStyle="Hyperlink 2"/>
    <tableColumn id="4" xr3:uid="{5CDD6322-626A-4E59-845A-9A0D814B104C}" name="Size Avg." dataDxfId="15" totalsRowDxfId="14"/>
    <tableColumn id="5" xr3:uid="{5211E888-3E69-4319-BAC7-5112B0598C8B}" name="Avg Pts" dataDxfId="13" totalsRowDxfId="12"/>
    <tableColumn id="6" xr3:uid="{690DCB9E-50FA-4276-AE15-19D8878ADE7E}" name="No.Pcs" totalsRowFunction="sum" dataDxfId="11" totalsRowDxfId="10"/>
    <tableColumn id="7" xr3:uid="{16E29A9F-BEE1-4E92-BC31-FD7AE5B520F4}" name="Diam Cts" totalsRowFunction="sum" dataDxfId="9" totalsRowDxfId="8"/>
    <tableColumn id="8" xr3:uid="{23A6FDE3-49F0-415E-A304-5B0F6B80A48E}" name="Col - Clarity" dataDxfId="7" totalsRowDxfId="6"/>
    <tableColumn id="9" xr3:uid="{E5BF3EE6-8D32-46AD-8E22-B2AD9427E542}" name="LOT" dataDxfId="5" totalsRowDxfId="4"/>
    <tableColumn id="10" xr3:uid="{F46E7B6B-4D55-4F29-8340-CB66C0FA49E4}" name="Per/ct" dataDxfId="3" totalsRowDxfId="2"/>
    <tableColumn id="11" xr3:uid="{B4C74521-0FCD-446B-AEB4-65B242002E6A}" name="Diam Total" totalsRowFunction="sum" dataDxfId="1" totalsRowDxfId="0">
      <calculatedColumnFormula>J3*G3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124B3-9B06-4A3E-AAEE-19C2BF1A2C24}">
  <dimension ref="B2:D17"/>
  <sheetViews>
    <sheetView tabSelected="1" workbookViewId="0">
      <selection activeCell="H12" sqref="H12"/>
    </sheetView>
  </sheetViews>
  <sheetFormatPr defaultRowHeight="18" customHeight="1" x14ac:dyDescent="0.3"/>
  <cols>
    <col min="1" max="1" width="5.33203125" style="1" customWidth="1"/>
    <col min="2" max="2" width="24" style="1" customWidth="1"/>
    <col min="3" max="3" width="10.44140625" style="1" customWidth="1"/>
    <col min="4" max="4" width="17" style="1" customWidth="1"/>
    <col min="5" max="16384" width="8.88671875" style="1"/>
  </cols>
  <sheetData>
    <row r="2" spans="2:4" ht="18" customHeight="1" x14ac:dyDescent="0.3">
      <c r="B2" s="202" t="s">
        <v>441</v>
      </c>
      <c r="C2" s="203"/>
      <c r="D2" s="204"/>
    </row>
    <row r="3" spans="2:4" ht="18" customHeight="1" x14ac:dyDescent="0.3">
      <c r="B3" s="97" t="s">
        <v>182</v>
      </c>
      <c r="C3" s="97" t="s">
        <v>181</v>
      </c>
      <c r="D3" s="97" t="s">
        <v>368</v>
      </c>
    </row>
    <row r="4" spans="2:4" ht="18" customHeight="1" x14ac:dyDescent="0.3">
      <c r="B4" s="197" t="s">
        <v>371</v>
      </c>
      <c r="C4" s="98">
        <v>1109.7299999999998</v>
      </c>
      <c r="D4" s="198">
        <v>807293.97063144436</v>
      </c>
    </row>
    <row r="5" spans="2:4" ht="18" customHeight="1" x14ac:dyDescent="0.3">
      <c r="B5" s="197" t="s">
        <v>372</v>
      </c>
      <c r="C5" s="98">
        <v>61.83</v>
      </c>
      <c r="D5" s="198">
        <v>98716.719188000017</v>
      </c>
    </row>
    <row r="6" spans="2:4" ht="18" customHeight="1" x14ac:dyDescent="0.3">
      <c r="B6" s="197" t="s">
        <v>373</v>
      </c>
      <c r="C6" s="98">
        <v>489.36</v>
      </c>
      <c r="D6" s="198">
        <v>178729.25</v>
      </c>
    </row>
    <row r="7" spans="2:4" ht="18" customHeight="1" x14ac:dyDescent="0.3">
      <c r="B7" s="199" t="s">
        <v>374</v>
      </c>
      <c r="C7" s="99">
        <v>144.98999999999998</v>
      </c>
      <c r="D7" s="200">
        <v>77744.619999999981</v>
      </c>
    </row>
    <row r="8" spans="2:4" ht="18" customHeight="1" x14ac:dyDescent="0.3">
      <c r="B8" s="199" t="s">
        <v>443</v>
      </c>
      <c r="C8" s="99">
        <f>SUBTOTAL(109,Table4[Carats])</f>
        <v>1805.9099999999996</v>
      </c>
      <c r="D8" s="200">
        <f>SUBTOTAL(109,Table4[Value USD])</f>
        <v>1162484.5598194443</v>
      </c>
    </row>
    <row r="9" spans="2:4" ht="18" customHeight="1" x14ac:dyDescent="0.3">
      <c r="B9" s="96"/>
      <c r="C9" s="94"/>
      <c r="D9" s="201"/>
    </row>
    <row r="10" spans="2:4" ht="18" customHeight="1" x14ac:dyDescent="0.3">
      <c r="B10" s="202" t="s">
        <v>414</v>
      </c>
      <c r="C10" s="203"/>
      <c r="D10" s="204"/>
    </row>
    <row r="11" spans="2:4" ht="18" customHeight="1" x14ac:dyDescent="0.3">
      <c r="B11" s="97" t="s">
        <v>182</v>
      </c>
      <c r="C11" s="97" t="s">
        <v>181</v>
      </c>
      <c r="D11" s="97" t="s">
        <v>368</v>
      </c>
    </row>
    <row r="12" spans="2:4" ht="18" customHeight="1" x14ac:dyDescent="0.3">
      <c r="B12" s="197" t="s">
        <v>373</v>
      </c>
      <c r="C12" s="98">
        <v>758.05</v>
      </c>
      <c r="D12" s="198">
        <v>46337</v>
      </c>
    </row>
    <row r="13" spans="2:4" ht="18" customHeight="1" x14ac:dyDescent="0.3">
      <c r="B13" s="197" t="s">
        <v>371</v>
      </c>
      <c r="C13" s="98">
        <v>73.19</v>
      </c>
      <c r="D13" s="198">
        <v>3008</v>
      </c>
    </row>
    <row r="14" spans="2:4" ht="18" customHeight="1" x14ac:dyDescent="0.3">
      <c r="B14" s="197" t="s">
        <v>444</v>
      </c>
      <c r="C14" s="98">
        <f>SUBTOTAL(109,Table47[Carats])</f>
        <v>831.24</v>
      </c>
      <c r="D14" s="198">
        <f>SUBTOTAL(109,Table47[Value USD])</f>
        <v>49345</v>
      </c>
    </row>
    <row r="16" spans="2:4" ht="18" customHeight="1" thickBot="1" x14ac:dyDescent="0.35">
      <c r="B16" s="208" t="s">
        <v>445</v>
      </c>
      <c r="C16" s="208"/>
      <c r="D16" s="209">
        <f>Table4[[#Totals],[Value USD]]+Table47[[#Totals],[Value USD]]</f>
        <v>1211829.5598194443</v>
      </c>
    </row>
    <row r="17" s="1" customFormat="1" ht="18" customHeight="1" thickTop="1" x14ac:dyDescent="0.3"/>
  </sheetData>
  <mergeCells count="2">
    <mergeCell ref="B2:D2"/>
    <mergeCell ref="B10:D10"/>
  </mergeCells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45A53-7D72-48EB-92DE-541FD07CACA7}">
  <dimension ref="A1:M118"/>
  <sheetViews>
    <sheetView workbookViewId="0">
      <pane ySplit="3" topLeftCell="A106" activePane="bottomLeft" state="frozen"/>
      <selection pane="bottomLeft" activeCell="K120" sqref="K120"/>
    </sheetView>
  </sheetViews>
  <sheetFormatPr defaultRowHeight="16.05" customHeight="1" x14ac:dyDescent="0.3"/>
  <cols>
    <col min="1" max="1" width="5.5546875" style="1" customWidth="1"/>
    <col min="2" max="2" width="14.44140625" style="1" bestFit="1" customWidth="1"/>
    <col min="3" max="3" width="30.109375" style="1" customWidth="1"/>
    <col min="4" max="4" width="9" style="1" customWidth="1"/>
    <col min="5" max="5" width="10.6640625" style="1" customWidth="1"/>
    <col min="6" max="6" width="14.33203125" style="1" customWidth="1"/>
    <col min="7" max="7" width="10.33203125" style="1" customWidth="1"/>
    <col min="8" max="8" width="11.5546875" style="1" customWidth="1"/>
    <col min="9" max="9" width="12.33203125" style="1" customWidth="1"/>
    <col min="10" max="10" width="12.44140625" style="1" customWidth="1"/>
    <col min="11" max="11" width="14.44140625" style="1" customWidth="1"/>
    <col min="12" max="12" width="8.88671875" style="1"/>
    <col min="13" max="13" width="24.33203125" style="1" customWidth="1"/>
    <col min="14" max="16384" width="8.88671875" style="1"/>
  </cols>
  <sheetData>
    <row r="1" spans="1:11" ht="16.05" customHeight="1" x14ac:dyDescent="0.3">
      <c r="A1" s="205" t="s">
        <v>59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pans="1:11" ht="16.05" customHeight="1" x14ac:dyDescent="0.3">
      <c r="F2" s="1">
        <v>1</v>
      </c>
      <c r="H2" s="1">
        <v>2</v>
      </c>
      <c r="I2" s="1">
        <v>3</v>
      </c>
      <c r="J2" s="1">
        <v>4</v>
      </c>
      <c r="K2" s="1" t="s">
        <v>8</v>
      </c>
    </row>
    <row r="3" spans="1:11" ht="16.05" customHeight="1" x14ac:dyDescent="0.3">
      <c r="A3" s="16" t="s">
        <v>0</v>
      </c>
      <c r="B3" s="17" t="s">
        <v>11</v>
      </c>
      <c r="C3" s="17" t="s">
        <v>1</v>
      </c>
      <c r="D3" s="17" t="s">
        <v>15</v>
      </c>
      <c r="E3" s="17" t="s">
        <v>2</v>
      </c>
      <c r="F3" s="17" t="s">
        <v>65</v>
      </c>
      <c r="G3" s="17" t="s">
        <v>3</v>
      </c>
      <c r="H3" s="17" t="s">
        <v>4</v>
      </c>
      <c r="I3" s="17" t="s">
        <v>5</v>
      </c>
      <c r="J3" s="17" t="s">
        <v>6</v>
      </c>
      <c r="K3" s="18" t="s">
        <v>7</v>
      </c>
    </row>
    <row r="4" spans="1:11" ht="16.05" customHeight="1" x14ac:dyDescent="0.3">
      <c r="A4" s="10">
        <v>1</v>
      </c>
      <c r="B4" s="11" t="s">
        <v>12</v>
      </c>
      <c r="C4" s="11" t="s">
        <v>9</v>
      </c>
      <c r="D4" s="12"/>
      <c r="E4" s="13">
        <v>28.41</v>
      </c>
      <c r="F4" s="14">
        <v>16709.849999999999</v>
      </c>
      <c r="G4" s="13"/>
      <c r="H4" s="14"/>
      <c r="I4" s="14"/>
      <c r="J4" s="14"/>
      <c r="K4" s="15"/>
    </row>
    <row r="5" spans="1:11" ht="16.05" customHeight="1" x14ac:dyDescent="0.3">
      <c r="A5" s="3"/>
      <c r="B5" s="4"/>
      <c r="C5" s="4" t="s">
        <v>10</v>
      </c>
      <c r="D5" s="5"/>
      <c r="E5" s="6"/>
      <c r="F5" s="7">
        <v>5617.47</v>
      </c>
      <c r="G5" s="6">
        <v>43.281999999999996</v>
      </c>
      <c r="H5" s="7">
        <v>2159.6999999999998</v>
      </c>
      <c r="I5" s="7">
        <v>581.48</v>
      </c>
      <c r="J5" s="7">
        <v>355.13</v>
      </c>
      <c r="K5" s="8">
        <f>Table1[[#This Row],[Cert Expense]]+Table1[[#This Row],[Labour Amt]]+Table1[[#This Row],[Gold Amt]]+F4+Table1[[#This Row],[Diamond Cost]]</f>
        <v>25423.63</v>
      </c>
    </row>
    <row r="6" spans="1:11" ht="16.05" customHeight="1" x14ac:dyDescent="0.3">
      <c r="A6" s="3">
        <v>2</v>
      </c>
      <c r="B6" s="4" t="s">
        <v>13</v>
      </c>
      <c r="C6" s="4" t="s">
        <v>14</v>
      </c>
      <c r="D6" s="5" t="s">
        <v>16</v>
      </c>
      <c r="E6" s="6">
        <v>16.52</v>
      </c>
      <c r="F6" s="7">
        <v>12720.4</v>
      </c>
      <c r="G6" s="6">
        <v>11.246</v>
      </c>
      <c r="H6" s="7">
        <v>598.06227999999999</v>
      </c>
      <c r="I6" s="7">
        <v>138.12100000000001</v>
      </c>
      <c r="J6" s="7">
        <v>206.5</v>
      </c>
      <c r="K6" s="8">
        <f>Table1[[#This Row],[Cert Expense]]+Table1[[#This Row],[Labour Amt]]+Table1[[#This Row],[Gold Amt]]+Table1[[#This Row],[Diamond Cost]]</f>
        <v>13663.083279999999</v>
      </c>
    </row>
    <row r="7" spans="1:11" ht="16.05" customHeight="1" x14ac:dyDescent="0.3">
      <c r="A7" s="3">
        <v>3</v>
      </c>
      <c r="B7" s="4" t="s">
        <v>26</v>
      </c>
      <c r="C7" s="4" t="s">
        <v>17</v>
      </c>
      <c r="D7" s="5" t="s">
        <v>18</v>
      </c>
      <c r="E7" s="6">
        <v>7.63</v>
      </c>
      <c r="F7" s="7">
        <v>3268.3</v>
      </c>
      <c r="G7" s="6">
        <v>17.603999999999999</v>
      </c>
      <c r="H7" s="7">
        <v>864.00431999999989</v>
      </c>
      <c r="I7" s="7"/>
      <c r="J7" s="7">
        <v>0</v>
      </c>
      <c r="K7" s="8">
        <f>Table1[[#This Row],[Cert Expense]]+Table1[[#This Row],[Labour Amt]]+Table1[[#This Row],[Gold Amt]]+Table1[[#This Row],[Diamond Cost]]</f>
        <v>4132.3043200000002</v>
      </c>
    </row>
    <row r="8" spans="1:11" ht="16.05" customHeight="1" x14ac:dyDescent="0.3">
      <c r="A8" s="3">
        <v>4</v>
      </c>
      <c r="B8" s="4" t="s">
        <v>26</v>
      </c>
      <c r="C8" s="4" t="s">
        <v>19</v>
      </c>
      <c r="D8" s="5" t="s">
        <v>18</v>
      </c>
      <c r="E8" s="6">
        <v>5.79</v>
      </c>
      <c r="F8" s="7">
        <v>2790.75</v>
      </c>
      <c r="G8" s="6">
        <v>19.02</v>
      </c>
      <c r="H8" s="7">
        <v>1011.4836</v>
      </c>
      <c r="I8" s="7"/>
      <c r="J8" s="7">
        <v>0</v>
      </c>
      <c r="K8" s="8">
        <f>Table1[[#This Row],[Cert Expense]]+Table1[[#This Row],[Labour Amt]]+Table1[[#This Row],[Gold Amt]]+Table1[[#This Row],[Diamond Cost]]</f>
        <v>3802.2336</v>
      </c>
    </row>
    <row r="9" spans="1:11" ht="16.05" customHeight="1" x14ac:dyDescent="0.3">
      <c r="A9" s="3">
        <v>5</v>
      </c>
      <c r="B9" s="4" t="s">
        <v>21</v>
      </c>
      <c r="C9" s="4" t="s">
        <v>20</v>
      </c>
      <c r="D9" s="5" t="s">
        <v>18</v>
      </c>
      <c r="E9" s="6">
        <v>24.39</v>
      </c>
      <c r="F9" s="7">
        <v>9940.5</v>
      </c>
      <c r="G9" s="6">
        <v>46.351999999999997</v>
      </c>
      <c r="H9" s="7">
        <v>2605.9094399999999</v>
      </c>
      <c r="I9" s="7">
        <v>633</v>
      </c>
      <c r="J9" s="7">
        <v>286</v>
      </c>
      <c r="K9" s="8">
        <f>Table1[[#This Row],[Cert Expense]]+Table1[[#This Row],[Labour Amt]]+Table1[[#This Row],[Gold Amt]]+Table1[[#This Row],[Diamond Cost]]</f>
        <v>13465.409439999999</v>
      </c>
    </row>
    <row r="10" spans="1:11" ht="16.05" customHeight="1" x14ac:dyDescent="0.3">
      <c r="A10" s="3">
        <v>6</v>
      </c>
      <c r="B10" s="4" t="s">
        <v>23</v>
      </c>
      <c r="C10" s="4" t="s">
        <v>14</v>
      </c>
      <c r="D10" s="5" t="s">
        <v>22</v>
      </c>
      <c r="E10" s="9">
        <v>14.4</v>
      </c>
      <c r="F10" s="7">
        <v>11232</v>
      </c>
      <c r="G10" s="6">
        <v>10.11</v>
      </c>
      <c r="H10" s="7">
        <v>568.38419999999996</v>
      </c>
      <c r="I10" s="7">
        <v>129.13499999999999</v>
      </c>
      <c r="J10" s="7">
        <v>180</v>
      </c>
      <c r="K10" s="8">
        <f>Table1[[#This Row],[Cert Expense]]+Table1[[#This Row],[Labour Amt]]+Table1[[#This Row],[Gold Amt]]+Table1[[#This Row],[Diamond Cost]]</f>
        <v>12109.519200000001</v>
      </c>
    </row>
    <row r="11" spans="1:11" ht="16.05" customHeight="1" x14ac:dyDescent="0.3">
      <c r="A11" s="3">
        <v>7</v>
      </c>
      <c r="B11" s="4" t="s">
        <v>24</v>
      </c>
      <c r="C11" s="4" t="s">
        <v>14</v>
      </c>
      <c r="D11" s="5" t="s">
        <v>16</v>
      </c>
      <c r="E11" s="9">
        <v>16.7</v>
      </c>
      <c r="F11" s="7">
        <v>13360</v>
      </c>
      <c r="G11" s="6">
        <v>10.96</v>
      </c>
      <c r="H11" s="7">
        <v>616.1712</v>
      </c>
      <c r="I11" s="7">
        <v>135.69</v>
      </c>
      <c r="J11" s="7">
        <v>208.75</v>
      </c>
      <c r="K11" s="8">
        <f>Table1[[#This Row],[Cert Expense]]+Table1[[#This Row],[Labour Amt]]+Table1[[#This Row],[Gold Amt]]+Table1[[#This Row],[Diamond Cost]]</f>
        <v>14320.611199999999</v>
      </c>
    </row>
    <row r="12" spans="1:11" ht="16.05" customHeight="1" x14ac:dyDescent="0.3">
      <c r="A12" s="3">
        <v>8</v>
      </c>
      <c r="B12" s="4" t="s">
        <v>26</v>
      </c>
      <c r="C12" s="4" t="s">
        <v>25</v>
      </c>
      <c r="D12" s="5" t="s">
        <v>18</v>
      </c>
      <c r="E12" s="6">
        <v>2.77</v>
      </c>
      <c r="F12" s="7">
        <v>1144.95</v>
      </c>
      <c r="G12" s="6">
        <v>8.8460000000000001</v>
      </c>
      <c r="H12" s="7">
        <v>497.32211999999998</v>
      </c>
      <c r="I12" s="7">
        <v>150</v>
      </c>
      <c r="J12" s="7">
        <v>0</v>
      </c>
      <c r="K12" s="8">
        <f>Table1[[#This Row],[Cert Expense]]+Table1[[#This Row],[Labour Amt]]+Table1[[#This Row],[Gold Amt]]+Table1[[#This Row],[Diamond Cost]]</f>
        <v>1792.2721200000001</v>
      </c>
    </row>
    <row r="13" spans="1:11" ht="16.05" customHeight="1" x14ac:dyDescent="0.3">
      <c r="A13" s="3">
        <v>9</v>
      </c>
      <c r="B13" s="4" t="s">
        <v>26</v>
      </c>
      <c r="C13" s="4" t="s">
        <v>27</v>
      </c>
      <c r="D13" s="5" t="s">
        <v>18</v>
      </c>
      <c r="E13" s="6">
        <v>4.76</v>
      </c>
      <c r="F13" s="7">
        <v>2002.05</v>
      </c>
      <c r="G13" s="6">
        <v>14.358000000000001</v>
      </c>
      <c r="H13" s="7">
        <v>807.20676000000003</v>
      </c>
      <c r="I13" s="7">
        <v>250</v>
      </c>
      <c r="J13" s="7">
        <v>0</v>
      </c>
      <c r="K13" s="8">
        <f>Table1[[#This Row],[Cert Expense]]+Table1[[#This Row],[Labour Amt]]+Table1[[#This Row],[Gold Amt]]+Table1[[#This Row],[Diamond Cost]]</f>
        <v>3059.2567600000002</v>
      </c>
    </row>
    <row r="14" spans="1:11" ht="16.05" customHeight="1" x14ac:dyDescent="0.3">
      <c r="A14" s="3">
        <v>10</v>
      </c>
      <c r="B14" s="4" t="s">
        <v>26</v>
      </c>
      <c r="C14" s="4" t="s">
        <v>28</v>
      </c>
      <c r="D14" s="5" t="s">
        <v>18</v>
      </c>
      <c r="E14" s="9">
        <v>10.199999999999999</v>
      </c>
      <c r="F14" s="7">
        <v>4491.75</v>
      </c>
      <c r="G14" s="6">
        <v>23.06</v>
      </c>
      <c r="H14" s="7">
        <v>1296.4331999999999</v>
      </c>
      <c r="I14" s="7">
        <v>350</v>
      </c>
      <c r="J14" s="7">
        <v>0</v>
      </c>
      <c r="K14" s="8">
        <f>Table1[[#This Row],[Cert Expense]]+Table1[[#This Row],[Labour Amt]]+Table1[[#This Row],[Gold Amt]]+Table1[[#This Row],[Diamond Cost]]</f>
        <v>6138.1831999999995</v>
      </c>
    </row>
    <row r="15" spans="1:11" ht="16.05" customHeight="1" x14ac:dyDescent="0.3">
      <c r="A15" s="3">
        <v>11</v>
      </c>
      <c r="B15" s="4" t="s">
        <v>30</v>
      </c>
      <c r="C15" s="4" t="s">
        <v>29</v>
      </c>
      <c r="D15" s="5" t="s">
        <v>31</v>
      </c>
      <c r="E15" s="9">
        <v>17</v>
      </c>
      <c r="F15" s="7">
        <v>14178</v>
      </c>
      <c r="G15" s="9">
        <v>18.2</v>
      </c>
      <c r="H15" s="7">
        <v>1090.5440000000001</v>
      </c>
      <c r="I15" s="7">
        <v>190.73569482288829</v>
      </c>
      <c r="J15" s="7">
        <v>0</v>
      </c>
      <c r="K15" s="8">
        <f>Table1[[#This Row],[Cert Expense]]+Table1[[#This Row],[Labour Amt]]+Table1[[#This Row],[Gold Amt]]+Table1[[#This Row],[Diamond Cost]]</f>
        <v>15459.279694822888</v>
      </c>
    </row>
    <row r="16" spans="1:11" ht="16.05" customHeight="1" x14ac:dyDescent="0.3">
      <c r="A16" s="3">
        <v>12</v>
      </c>
      <c r="B16" s="4" t="s">
        <v>34</v>
      </c>
      <c r="C16" s="4" t="s">
        <v>32</v>
      </c>
      <c r="D16" s="5" t="s">
        <v>33</v>
      </c>
      <c r="E16" s="6">
        <v>17.91</v>
      </c>
      <c r="F16" s="7">
        <v>11372.85</v>
      </c>
      <c r="G16" s="6">
        <v>23.228000000000002</v>
      </c>
      <c r="H16" s="7">
        <v>1391.82176</v>
      </c>
      <c r="I16" s="7">
        <v>267.89800000000002</v>
      </c>
      <c r="J16" s="7">
        <v>223.875</v>
      </c>
      <c r="K16" s="8">
        <f>Table1[[#This Row],[Cert Expense]]+Table1[[#This Row],[Labour Amt]]+Table1[[#This Row],[Gold Amt]]+Table1[[#This Row],[Diamond Cost]]</f>
        <v>13256.44476</v>
      </c>
    </row>
    <row r="17" spans="1:11" ht="16.05" customHeight="1" x14ac:dyDescent="0.3">
      <c r="A17" s="3">
        <v>13</v>
      </c>
      <c r="B17" s="4" t="s">
        <v>36</v>
      </c>
      <c r="C17" s="4" t="s">
        <v>35</v>
      </c>
      <c r="D17" s="5" t="s">
        <v>18</v>
      </c>
      <c r="E17" s="6">
        <v>25.53</v>
      </c>
      <c r="F17" s="7">
        <v>14604.75</v>
      </c>
      <c r="G17" s="6">
        <v>26.154</v>
      </c>
      <c r="H17" s="7">
        <v>1568.03</v>
      </c>
      <c r="I17" s="7">
        <v>387.64</v>
      </c>
      <c r="J17" s="7">
        <f>24.11*12.5</f>
        <v>301.375</v>
      </c>
      <c r="K17" s="8">
        <f>Table1[[#This Row],[Cert Expense]]+Table1[[#This Row],[Labour Amt]]+Table1[[#This Row],[Gold Amt]]+Table1[[#This Row],[Diamond Cost]]</f>
        <v>16861.794999999998</v>
      </c>
    </row>
    <row r="18" spans="1:11" ht="16.05" customHeight="1" x14ac:dyDescent="0.3">
      <c r="A18" s="3">
        <v>14</v>
      </c>
      <c r="B18" s="4" t="s">
        <v>38</v>
      </c>
      <c r="C18" s="4" t="s">
        <v>37</v>
      </c>
      <c r="D18" s="5" t="s">
        <v>31</v>
      </c>
      <c r="E18" s="6">
        <v>17.43</v>
      </c>
      <c r="F18" s="7">
        <v>10719.45</v>
      </c>
      <c r="G18" s="6">
        <v>24.463999999999999</v>
      </c>
      <c r="H18" s="7">
        <v>1570.5888</v>
      </c>
      <c r="I18" s="7">
        <v>263.39999999999998</v>
      </c>
      <c r="J18" s="7">
        <v>217.875</v>
      </c>
      <c r="K18" s="8">
        <f>Table1[[#This Row],[Cert Expense]]+Table1[[#This Row],[Labour Amt]]+Table1[[#This Row],[Gold Amt]]+Table1[[#This Row],[Diamond Cost]]</f>
        <v>12771.3138</v>
      </c>
    </row>
    <row r="19" spans="1:11" ht="16.05" customHeight="1" x14ac:dyDescent="0.3">
      <c r="A19" s="3">
        <v>15</v>
      </c>
      <c r="B19" s="4" t="s">
        <v>41</v>
      </c>
      <c r="C19" s="4" t="s">
        <v>39</v>
      </c>
      <c r="D19" s="5" t="s">
        <v>40</v>
      </c>
      <c r="E19" s="9">
        <v>20.8</v>
      </c>
      <c r="F19" s="7">
        <v>11440</v>
      </c>
      <c r="G19" s="6">
        <v>23.08</v>
      </c>
      <c r="H19" s="7">
        <v>1450.578</v>
      </c>
      <c r="I19" s="7">
        <v>291.14999999999998</v>
      </c>
      <c r="J19" s="7">
        <v>260</v>
      </c>
      <c r="K19" s="8">
        <f>Table1[[#This Row],[Cert Expense]]+Table1[[#This Row],[Labour Amt]]+Table1[[#This Row],[Gold Amt]]+Table1[[#This Row],[Diamond Cost]]</f>
        <v>13441.727999999999</v>
      </c>
    </row>
    <row r="20" spans="1:11" ht="16.05" customHeight="1" x14ac:dyDescent="0.3">
      <c r="A20" s="3">
        <v>16</v>
      </c>
      <c r="B20" s="4" t="s">
        <v>43</v>
      </c>
      <c r="C20" s="4" t="s">
        <v>42</v>
      </c>
      <c r="D20" s="5" t="s">
        <v>18</v>
      </c>
      <c r="E20" s="6">
        <v>9.07</v>
      </c>
      <c r="F20" s="7">
        <v>5618.25</v>
      </c>
      <c r="G20" s="6">
        <v>17.056000000000001</v>
      </c>
      <c r="H20" s="7">
        <v>1098.5769600000001</v>
      </c>
      <c r="I20" s="7">
        <v>263.726</v>
      </c>
      <c r="J20" s="7">
        <v>113.375</v>
      </c>
      <c r="K20" s="8">
        <f>Table1[[#This Row],[Cert Expense]]+Table1[[#This Row],[Labour Amt]]+Table1[[#This Row],[Gold Amt]]+Table1[[#This Row],[Diamond Cost]]</f>
        <v>7093.92796</v>
      </c>
    </row>
    <row r="21" spans="1:11" ht="16.05" customHeight="1" x14ac:dyDescent="0.3">
      <c r="A21" s="3">
        <v>17</v>
      </c>
      <c r="B21" s="4" t="s">
        <v>45</v>
      </c>
      <c r="C21" s="4" t="s">
        <v>44</v>
      </c>
      <c r="D21" s="5" t="s">
        <v>18</v>
      </c>
      <c r="E21" s="6">
        <v>10.75</v>
      </c>
      <c r="F21" s="7">
        <v>5682.9</v>
      </c>
      <c r="G21" s="6">
        <v>19.46</v>
      </c>
      <c r="H21" s="7">
        <v>1253.4186</v>
      </c>
      <c r="I21" s="7">
        <v>303.99</v>
      </c>
      <c r="J21" s="7">
        <v>134.375</v>
      </c>
      <c r="K21" s="8">
        <f>Table1[[#This Row],[Cert Expense]]+Table1[[#This Row],[Labour Amt]]+Table1[[#This Row],[Gold Amt]]+Table1[[#This Row],[Diamond Cost]]</f>
        <v>7374.6835999999994</v>
      </c>
    </row>
    <row r="22" spans="1:11" ht="16.05" customHeight="1" x14ac:dyDescent="0.3">
      <c r="A22" s="3">
        <v>18</v>
      </c>
      <c r="B22" s="4" t="s">
        <v>26</v>
      </c>
      <c r="C22" s="4" t="s">
        <v>46</v>
      </c>
      <c r="D22" s="5" t="s">
        <v>18</v>
      </c>
      <c r="E22" s="6">
        <v>1.54</v>
      </c>
      <c r="F22" s="7">
        <v>1309</v>
      </c>
      <c r="G22" s="6"/>
      <c r="H22" s="7"/>
      <c r="I22" s="7"/>
      <c r="J22" s="7"/>
      <c r="K22" s="8"/>
    </row>
    <row r="23" spans="1:11" ht="16.05" customHeight="1" x14ac:dyDescent="0.3">
      <c r="A23" s="3"/>
      <c r="B23" s="4"/>
      <c r="C23" s="4" t="s">
        <v>47</v>
      </c>
      <c r="D23" s="5"/>
      <c r="E23" s="6"/>
      <c r="F23" s="7">
        <v>429</v>
      </c>
      <c r="G23" s="6">
        <v>7.3579999999999997</v>
      </c>
      <c r="H23" s="7">
        <v>473.92877999999996</v>
      </c>
      <c r="I23" s="7">
        <v>136</v>
      </c>
      <c r="J23" s="7">
        <v>0</v>
      </c>
      <c r="K23" s="8">
        <f>Table1[[#This Row],[Cert Expense]]+Table1[[#This Row],[Labour Amt]]+Table1[[#This Row],[Gold Amt]]+F22+Table1[[#This Row],[Diamond Cost]]</f>
        <v>2347.9287800000002</v>
      </c>
    </row>
    <row r="24" spans="1:11" ht="16.05" customHeight="1" x14ac:dyDescent="0.3">
      <c r="A24" s="3">
        <v>19</v>
      </c>
      <c r="B24" s="4" t="s">
        <v>49</v>
      </c>
      <c r="C24" s="4" t="s">
        <v>48</v>
      </c>
      <c r="D24" s="5" t="s">
        <v>18</v>
      </c>
      <c r="E24" s="9">
        <v>7.6</v>
      </c>
      <c r="F24" s="7">
        <v>4026</v>
      </c>
      <c r="G24" s="6">
        <v>12.13</v>
      </c>
      <c r="H24" s="7">
        <v>858.1975000000001</v>
      </c>
      <c r="I24" s="7">
        <v>157.67000000000002</v>
      </c>
      <c r="J24" s="7">
        <v>95</v>
      </c>
      <c r="K24" s="8">
        <f>Table1[[#This Row],[Cert Expense]]+Table1[[#This Row],[Labour Amt]]+Table1[[#This Row],[Gold Amt]]+Table1[[#This Row],[Diamond Cost]]</f>
        <v>5136.8675000000003</v>
      </c>
    </row>
    <row r="25" spans="1:11" ht="16.05" customHeight="1" x14ac:dyDescent="0.3">
      <c r="A25" s="3">
        <v>20</v>
      </c>
      <c r="B25" s="4" t="s">
        <v>52</v>
      </c>
      <c r="C25" s="4" t="s">
        <v>50</v>
      </c>
      <c r="D25" s="5" t="s">
        <v>51</v>
      </c>
      <c r="E25" s="6">
        <v>6.85</v>
      </c>
      <c r="F25" s="7">
        <v>3767.5</v>
      </c>
      <c r="G25" s="6">
        <v>8.3800000000000008</v>
      </c>
      <c r="H25" s="7">
        <v>602.18680000000006</v>
      </c>
      <c r="I25" s="7">
        <v>117.16</v>
      </c>
      <c r="J25" s="7">
        <v>85.625</v>
      </c>
      <c r="K25" s="8">
        <f>Table1[[#This Row],[Cert Expense]]+Table1[[#This Row],[Labour Amt]]+Table1[[#This Row],[Gold Amt]]+Table1[[#This Row],[Diamond Cost]]</f>
        <v>4572.4718000000003</v>
      </c>
    </row>
    <row r="26" spans="1:11" ht="16.05" customHeight="1" x14ac:dyDescent="0.3">
      <c r="A26" s="3">
        <v>21</v>
      </c>
      <c r="B26" s="4" t="s">
        <v>54</v>
      </c>
      <c r="C26" s="4" t="s">
        <v>53</v>
      </c>
      <c r="D26" s="5" t="s">
        <v>18</v>
      </c>
      <c r="E26" s="6">
        <v>13.26</v>
      </c>
      <c r="F26" s="7">
        <v>7122</v>
      </c>
      <c r="G26" s="6">
        <v>21.318000000000001</v>
      </c>
      <c r="H26" s="7">
        <v>1531.91148</v>
      </c>
      <c r="I26" s="7">
        <v>272.09300000000002</v>
      </c>
      <c r="J26" s="7">
        <v>165.8826</v>
      </c>
      <c r="K26" s="8">
        <f>Table1[[#This Row],[Cert Expense]]+Table1[[#This Row],[Labour Amt]]+Table1[[#This Row],[Gold Amt]]+Table1[[#This Row],[Diamond Cost]]</f>
        <v>9091.8870800000004</v>
      </c>
    </row>
    <row r="27" spans="1:11" ht="16.05" customHeight="1" x14ac:dyDescent="0.3">
      <c r="A27" s="3">
        <v>22</v>
      </c>
      <c r="B27" s="4" t="s">
        <v>55</v>
      </c>
      <c r="C27" s="4" t="s">
        <v>14</v>
      </c>
      <c r="D27" s="5" t="s">
        <v>33</v>
      </c>
      <c r="E27" s="9">
        <v>10.9</v>
      </c>
      <c r="F27" s="7">
        <v>6823.4000000000005</v>
      </c>
      <c r="G27" s="6">
        <v>10.19</v>
      </c>
      <c r="H27" s="7">
        <v>750.90109999999993</v>
      </c>
      <c r="I27" s="7">
        <v>132.48699999999999</v>
      </c>
      <c r="J27" s="7">
        <f>12.5*Table1[[#This Row],[Diam Carats]]</f>
        <v>136.25</v>
      </c>
      <c r="K27" s="8">
        <f>Table1[[#This Row],[Cert Expense]]+Table1[[#This Row],[Labour Amt]]+Table1[[#This Row],[Gold Amt]]+Table1[[#This Row],[Diamond Cost]]</f>
        <v>7843.0381000000007</v>
      </c>
    </row>
    <row r="28" spans="1:11" ht="16.05" customHeight="1" x14ac:dyDescent="0.3">
      <c r="A28" s="3">
        <v>23</v>
      </c>
      <c r="B28" s="4" t="s">
        <v>56</v>
      </c>
      <c r="C28" s="4" t="s">
        <v>14</v>
      </c>
      <c r="D28" s="5" t="s">
        <v>33</v>
      </c>
      <c r="E28" s="9">
        <v>10.9</v>
      </c>
      <c r="F28" s="7">
        <v>6823.4000000000005</v>
      </c>
      <c r="G28" s="6">
        <v>8.67</v>
      </c>
      <c r="H28" s="7">
        <v>677.47379999999998</v>
      </c>
      <c r="I28" s="7">
        <v>112.71</v>
      </c>
      <c r="J28" s="7">
        <v>136.35900000000001</v>
      </c>
      <c r="K28" s="8">
        <f>Table1[[#This Row],[Cert Expense]]+Table1[[#This Row],[Labour Amt]]+Table1[[#This Row],[Gold Amt]]+Table1[[#This Row],[Diamond Cost]]</f>
        <v>7749.9428000000007</v>
      </c>
    </row>
    <row r="29" spans="1:11" ht="16.05" customHeight="1" x14ac:dyDescent="0.3">
      <c r="A29" s="3">
        <v>24</v>
      </c>
      <c r="B29" s="4" t="s">
        <v>57</v>
      </c>
      <c r="C29" s="4" t="s">
        <v>58</v>
      </c>
      <c r="D29" s="5" t="s">
        <v>51</v>
      </c>
      <c r="E29" s="6">
        <v>9.17</v>
      </c>
      <c r="F29" s="7">
        <v>4126.5</v>
      </c>
      <c r="G29" s="6">
        <v>15.436</v>
      </c>
      <c r="H29" s="7">
        <v>1200.4577199999999</v>
      </c>
      <c r="I29" s="7">
        <v>190.74959999999999</v>
      </c>
      <c r="J29" s="7">
        <v>117.44</v>
      </c>
      <c r="K29" s="8">
        <f>Table1[[#This Row],[Cert Expense]]+Table1[[#This Row],[Labour Amt]]+Table1[[#This Row],[Gold Amt]]+Table1[[#This Row],[Diamond Cost]]</f>
        <v>5635.14732</v>
      </c>
    </row>
    <row r="30" spans="1:11" ht="16.05" customHeight="1" x14ac:dyDescent="0.3">
      <c r="A30" s="3">
        <v>25</v>
      </c>
      <c r="B30" s="4" t="s">
        <v>62</v>
      </c>
      <c r="C30" s="4" t="s">
        <v>50</v>
      </c>
      <c r="D30" s="5" t="s">
        <v>33</v>
      </c>
      <c r="E30" s="6">
        <v>13.88</v>
      </c>
      <c r="F30" s="7">
        <v>9022</v>
      </c>
      <c r="G30" s="6">
        <v>13.804</v>
      </c>
      <c r="H30" s="7">
        <v>990.85112000000004</v>
      </c>
      <c r="I30" s="7">
        <v>177.11171662125341</v>
      </c>
      <c r="J30" s="7">
        <v>177.76</v>
      </c>
      <c r="K30" s="8">
        <f>Table1[[#This Row],[Cert Expense]]+Table1[[#This Row],[Labour Amt]]+Table1[[#This Row],[Gold Amt]]+Table1[[#This Row],[Diamond Cost]]</f>
        <v>10367.722836621253</v>
      </c>
    </row>
    <row r="31" spans="1:11" ht="16.05" customHeight="1" x14ac:dyDescent="0.3">
      <c r="A31" s="3">
        <v>26</v>
      </c>
      <c r="B31" s="4" t="s">
        <v>64</v>
      </c>
      <c r="C31" s="4" t="s">
        <v>63</v>
      </c>
      <c r="D31" s="5" t="s">
        <v>18</v>
      </c>
      <c r="E31" s="6">
        <v>6.62</v>
      </c>
      <c r="F31" s="7">
        <v>3551.3</v>
      </c>
      <c r="G31" s="6">
        <v>10.295999999999999</v>
      </c>
      <c r="H31" s="7">
        <v>739.04687999999999</v>
      </c>
      <c r="I31" s="7">
        <v>142.51599999999999</v>
      </c>
      <c r="J31" s="7">
        <v>84.79</v>
      </c>
      <c r="K31" s="8">
        <f>Table1[[#This Row],[Cert Expense]]+Table1[[#This Row],[Labour Amt]]+Table1[[#This Row],[Gold Amt]]+Table1[[#This Row],[Diamond Cost]]</f>
        <v>4517.6528799999996</v>
      </c>
    </row>
    <row r="32" spans="1:11" ht="16.05" customHeight="1" x14ac:dyDescent="0.3">
      <c r="A32" s="3">
        <v>27</v>
      </c>
      <c r="B32" s="4" t="s">
        <v>67</v>
      </c>
      <c r="C32" s="4" t="s">
        <v>66</v>
      </c>
      <c r="D32" s="5" t="s">
        <v>33</v>
      </c>
      <c r="E32" s="6">
        <v>9.44</v>
      </c>
      <c r="F32" s="7">
        <v>6136</v>
      </c>
      <c r="G32" s="6">
        <v>9.2620000000000005</v>
      </c>
      <c r="H32" s="7">
        <v>664.82636000000002</v>
      </c>
      <c r="I32" s="7">
        <v>125</v>
      </c>
      <c r="J32" s="7">
        <v>128.47839999999999</v>
      </c>
      <c r="K32" s="8">
        <f>Table1[[#This Row],[Cert Expense]]+Table1[[#This Row],[Labour Amt]]+Table1[[#This Row],[Gold Amt]]+Table1[[#This Row],[Diamond Cost]]</f>
        <v>7054.30476</v>
      </c>
    </row>
    <row r="33" spans="1:11" ht="16.05" customHeight="1" x14ac:dyDescent="0.3">
      <c r="A33" s="3">
        <v>28</v>
      </c>
      <c r="B33" s="4" t="s">
        <v>69</v>
      </c>
      <c r="C33" s="4" t="s">
        <v>68</v>
      </c>
      <c r="D33" s="5" t="s">
        <v>18</v>
      </c>
      <c r="E33" s="6">
        <v>5.78</v>
      </c>
      <c r="F33" s="7">
        <v>2981</v>
      </c>
      <c r="G33" s="6">
        <v>6.8639999999999999</v>
      </c>
      <c r="H33" s="7">
        <v>492.69792000000001</v>
      </c>
      <c r="I33" s="7">
        <v>125</v>
      </c>
      <c r="J33" s="7">
        <v>78.665800000000004</v>
      </c>
      <c r="K33" s="8">
        <f>Table1[[#This Row],[Cert Expense]]+Table1[[#This Row],[Labour Amt]]+Table1[[#This Row],[Gold Amt]]+Table1[[#This Row],[Diamond Cost]]</f>
        <v>3677.3637200000003</v>
      </c>
    </row>
    <row r="34" spans="1:11" ht="16.05" customHeight="1" x14ac:dyDescent="0.3">
      <c r="A34" s="3">
        <v>29</v>
      </c>
      <c r="B34" s="4" t="s">
        <v>70</v>
      </c>
      <c r="C34" s="4" t="s">
        <v>68</v>
      </c>
      <c r="D34" s="5" t="s">
        <v>18</v>
      </c>
      <c r="E34" s="6">
        <v>6.41</v>
      </c>
      <c r="F34" s="7">
        <v>3648.5</v>
      </c>
      <c r="G34" s="6">
        <v>7.1180000000000003</v>
      </c>
      <c r="H34" s="7">
        <v>510.93004000000002</v>
      </c>
      <c r="I34" s="7">
        <v>125</v>
      </c>
      <c r="J34" s="7">
        <v>86.79</v>
      </c>
      <c r="K34" s="8">
        <f>Table1[[#This Row],[Cert Expense]]+Table1[[#This Row],[Labour Amt]]+Table1[[#This Row],[Gold Amt]]+Table1[[#This Row],[Diamond Cost]]</f>
        <v>4371.2200400000002</v>
      </c>
    </row>
    <row r="35" spans="1:11" ht="16.05" customHeight="1" x14ac:dyDescent="0.3">
      <c r="A35" s="3">
        <v>30</v>
      </c>
      <c r="B35" s="4" t="s">
        <v>72</v>
      </c>
      <c r="C35" s="4" t="s">
        <v>71</v>
      </c>
      <c r="D35" s="5" t="s">
        <v>40</v>
      </c>
      <c r="E35" s="6">
        <v>9.16</v>
      </c>
      <c r="F35" s="7">
        <v>5267</v>
      </c>
      <c r="G35" s="6">
        <v>10.907999999999999</v>
      </c>
      <c r="H35" s="7">
        <v>782.97623999999996</v>
      </c>
      <c r="I35" s="7">
        <v>144.09799999999998</v>
      </c>
      <c r="J35" s="7">
        <v>124.66759999999999</v>
      </c>
      <c r="K35" s="8">
        <f>Table1[[#This Row],[Cert Expense]]+Table1[[#This Row],[Labour Amt]]+Table1[[#This Row],[Gold Amt]]+Table1[[#This Row],[Diamond Cost]]</f>
        <v>6318.7418399999997</v>
      </c>
    </row>
    <row r="36" spans="1:11" ht="16.05" customHeight="1" x14ac:dyDescent="0.3">
      <c r="A36" s="3">
        <v>31</v>
      </c>
      <c r="B36" s="4" t="s">
        <v>74</v>
      </c>
      <c r="C36" s="4" t="s">
        <v>73</v>
      </c>
      <c r="D36" s="5" t="s">
        <v>18</v>
      </c>
      <c r="E36" s="6">
        <v>9.7899999999999991</v>
      </c>
      <c r="F36" s="7">
        <v>5267.2</v>
      </c>
      <c r="G36" s="6">
        <v>16.562000000000001</v>
      </c>
      <c r="H36" s="7">
        <v>1188.8203600000002</v>
      </c>
      <c r="I36" s="7">
        <v>275</v>
      </c>
      <c r="J36" s="7">
        <v>133.24189999999999</v>
      </c>
      <c r="K36" s="8">
        <f>Table1[[#This Row],[Cert Expense]]+Table1[[#This Row],[Labour Amt]]+Table1[[#This Row],[Gold Amt]]+Table1[[#This Row],[Diamond Cost]]</f>
        <v>6864.2622599999995</v>
      </c>
    </row>
    <row r="37" spans="1:11" ht="16.05" customHeight="1" x14ac:dyDescent="0.3">
      <c r="A37" s="3">
        <v>32</v>
      </c>
      <c r="B37" s="4" t="s">
        <v>75</v>
      </c>
      <c r="C37" s="4" t="s">
        <v>73</v>
      </c>
      <c r="D37" s="5" t="s">
        <v>18</v>
      </c>
      <c r="E37" s="6">
        <v>11.71</v>
      </c>
      <c r="F37" s="7">
        <v>6034.5</v>
      </c>
      <c r="G37" s="6">
        <v>14.308</v>
      </c>
      <c r="H37" s="7">
        <v>1027.0282400000001</v>
      </c>
      <c r="I37" s="7">
        <v>273</v>
      </c>
      <c r="J37" s="7">
        <v>159.37309999999999</v>
      </c>
      <c r="K37" s="8">
        <f>Table1[[#This Row],[Cert Expense]]+Table1[[#This Row],[Labour Amt]]+Table1[[#This Row],[Gold Amt]]+Table1[[#This Row],[Diamond Cost]]</f>
        <v>7493.9013400000003</v>
      </c>
    </row>
    <row r="38" spans="1:11" ht="16.05" customHeight="1" x14ac:dyDescent="0.3">
      <c r="A38" s="3">
        <v>33</v>
      </c>
      <c r="B38" s="4" t="s">
        <v>26</v>
      </c>
      <c r="C38" s="4" t="s">
        <v>76</v>
      </c>
      <c r="D38" s="5"/>
      <c r="E38" s="6"/>
      <c r="F38" s="7">
        <v>544.48</v>
      </c>
      <c r="G38" s="6"/>
      <c r="H38" s="7"/>
      <c r="I38" s="7"/>
      <c r="J38" s="7"/>
      <c r="K38" s="8">
        <f>Table1[[#This Row],[Cert Expense]]+Table1[[#This Row],[Labour Amt]]+Table1[[#This Row],[Gold Amt]]+Table1[[#This Row],[Diamond Cost]]</f>
        <v>544.48</v>
      </c>
    </row>
    <row r="39" spans="1:11" ht="16.05" customHeight="1" x14ac:dyDescent="0.3">
      <c r="A39" s="3">
        <v>34</v>
      </c>
      <c r="B39" s="4" t="s">
        <v>26</v>
      </c>
      <c r="C39" s="4" t="s">
        <v>77</v>
      </c>
      <c r="D39" s="5"/>
      <c r="E39" s="6"/>
      <c r="F39" s="7">
        <v>1500.6000000000001</v>
      </c>
      <c r="G39" s="6"/>
      <c r="H39" s="7"/>
      <c r="I39" s="7"/>
      <c r="J39" s="7"/>
      <c r="K39" s="8">
        <f>Table1[[#This Row],[Cert Expense]]+Table1[[#This Row],[Labour Amt]]+Table1[[#This Row],[Gold Amt]]+Table1[[#This Row],[Diamond Cost]]</f>
        <v>1500.6000000000001</v>
      </c>
    </row>
    <row r="40" spans="1:11" ht="16.05" customHeight="1" x14ac:dyDescent="0.3">
      <c r="A40" s="3"/>
      <c r="B40" s="4"/>
      <c r="C40" s="4"/>
      <c r="D40" s="5"/>
      <c r="E40" s="6"/>
      <c r="F40" s="7"/>
      <c r="G40" s="6"/>
      <c r="H40" s="7"/>
      <c r="I40" s="7"/>
      <c r="J40" s="7"/>
      <c r="K40" s="8"/>
    </row>
    <row r="41" spans="1:11" ht="16.05" customHeight="1" x14ac:dyDescent="0.3">
      <c r="A41" s="3">
        <v>35</v>
      </c>
      <c r="B41" s="4" t="s">
        <v>79</v>
      </c>
      <c r="C41" s="4" t="s">
        <v>78</v>
      </c>
      <c r="D41" s="5" t="s">
        <v>80</v>
      </c>
      <c r="E41" s="6">
        <v>12.63</v>
      </c>
      <c r="F41" s="7">
        <v>8726.75</v>
      </c>
      <c r="G41" s="6">
        <v>12.624000000000001</v>
      </c>
      <c r="H41" s="7">
        <v>1024.94256</v>
      </c>
      <c r="I41" s="7">
        <v>154.50400000000002</v>
      </c>
      <c r="J41" s="7">
        <v>171.89430000000002</v>
      </c>
      <c r="K41" s="8">
        <f>Table1[[#This Row],[Cert Expense]]+Table1[[#This Row],[Labour Amt]]+Table1[[#This Row],[Gold Amt]]+Table1[[#This Row],[Diamond Cost]]</f>
        <v>10078.09086</v>
      </c>
    </row>
    <row r="42" spans="1:11" ht="16.05" customHeight="1" x14ac:dyDescent="0.3">
      <c r="A42" s="3">
        <v>36</v>
      </c>
      <c r="B42" s="4" t="s">
        <v>81</v>
      </c>
      <c r="C42" s="4" t="s">
        <v>78</v>
      </c>
      <c r="D42" s="5" t="s">
        <v>31</v>
      </c>
      <c r="E42" s="9">
        <v>13.4</v>
      </c>
      <c r="F42" s="7">
        <v>9715</v>
      </c>
      <c r="G42" s="6">
        <v>11.82</v>
      </c>
      <c r="H42" s="7">
        <v>959.66579999999999</v>
      </c>
      <c r="I42" s="7">
        <v>147.07999999999998</v>
      </c>
      <c r="J42" s="7">
        <v>182.374</v>
      </c>
      <c r="K42" s="8">
        <f>Table1[[#This Row],[Cert Expense]]+Table1[[#This Row],[Labour Amt]]+Table1[[#This Row],[Gold Amt]]+Table1[[#This Row],[Diamond Cost]]</f>
        <v>11004.1198</v>
      </c>
    </row>
    <row r="43" spans="1:11" ht="16.05" customHeight="1" x14ac:dyDescent="0.3">
      <c r="A43" s="3">
        <v>37</v>
      </c>
      <c r="B43" s="4" t="s">
        <v>83</v>
      </c>
      <c r="C43" s="4" t="s">
        <v>82</v>
      </c>
      <c r="D43" s="5" t="s">
        <v>84</v>
      </c>
      <c r="E43" s="6">
        <v>23.36</v>
      </c>
      <c r="F43" s="7">
        <v>13278</v>
      </c>
      <c r="G43" s="6">
        <v>24.417999999999999</v>
      </c>
      <c r="H43" s="7">
        <v>1982.4974199999999</v>
      </c>
      <c r="I43" s="7">
        <v>326.98</v>
      </c>
      <c r="J43" s="7">
        <v>317.92959999999999</v>
      </c>
      <c r="K43" s="8">
        <f>Table1[[#This Row],[Cert Expense]]+Table1[[#This Row],[Labour Amt]]+Table1[[#This Row],[Gold Amt]]+Table1[[#This Row],[Diamond Cost]]</f>
        <v>15905.407019999999</v>
      </c>
    </row>
    <row r="44" spans="1:11" ht="16.05" customHeight="1" x14ac:dyDescent="0.3">
      <c r="A44" s="3">
        <v>38</v>
      </c>
      <c r="B44" s="4" t="s">
        <v>86</v>
      </c>
      <c r="C44" s="4" t="s">
        <v>85</v>
      </c>
      <c r="D44" s="5" t="s">
        <v>87</v>
      </c>
      <c r="E44" s="6">
        <v>5.59</v>
      </c>
      <c r="F44" s="7">
        <v>3060.25</v>
      </c>
      <c r="G44" s="6">
        <v>6.4720000000000004</v>
      </c>
      <c r="H44" s="7">
        <v>525.46168</v>
      </c>
      <c r="I44" s="7">
        <v>125</v>
      </c>
      <c r="J44" s="7">
        <v>75.688599999999994</v>
      </c>
      <c r="K44" s="8">
        <f>Table1[[#This Row],[Cert Expense]]+Table1[[#This Row],[Labour Amt]]+Table1[[#This Row],[Gold Amt]]+Table1[[#This Row],[Diamond Cost]]</f>
        <v>3786.4002799999998</v>
      </c>
    </row>
    <row r="45" spans="1:11" ht="16.05" customHeight="1" x14ac:dyDescent="0.3">
      <c r="A45" s="3">
        <v>39</v>
      </c>
      <c r="B45" s="4" t="s">
        <v>88</v>
      </c>
      <c r="C45" s="4" t="s">
        <v>78</v>
      </c>
      <c r="D45" s="5" t="s">
        <v>40</v>
      </c>
      <c r="E45" s="6">
        <v>6.42</v>
      </c>
      <c r="F45" s="7">
        <v>3691.5</v>
      </c>
      <c r="G45" s="6">
        <v>6.9660000000000002</v>
      </c>
      <c r="H45" s="7">
        <v>565.56953999999996</v>
      </c>
      <c r="I45" s="7">
        <v>125</v>
      </c>
      <c r="J45" s="7">
        <v>86.9268</v>
      </c>
      <c r="K45" s="8">
        <f>Table1[[#This Row],[Cert Expense]]+Table1[[#This Row],[Labour Amt]]+Table1[[#This Row],[Gold Amt]]+Table1[[#This Row],[Diamond Cost]]</f>
        <v>4468.9963399999997</v>
      </c>
    </row>
    <row r="46" spans="1:11" ht="16.05" customHeight="1" x14ac:dyDescent="0.3">
      <c r="A46" s="3">
        <v>40</v>
      </c>
      <c r="B46" s="4" t="s">
        <v>90</v>
      </c>
      <c r="C46" s="4" t="s">
        <v>89</v>
      </c>
      <c r="D46" s="5" t="s">
        <v>18</v>
      </c>
      <c r="E46" s="6">
        <v>12.84</v>
      </c>
      <c r="F46" s="7">
        <v>7944.15</v>
      </c>
      <c r="G46" s="6">
        <v>9.782</v>
      </c>
      <c r="H46" s="7">
        <v>781.58180000000004</v>
      </c>
      <c r="I46" s="7">
        <v>125</v>
      </c>
      <c r="J46" s="7">
        <v>128.57</v>
      </c>
      <c r="K46" s="8">
        <f>Table1[[#This Row],[Cert Expense]]+Table1[[#This Row],[Labour Amt]]+Table1[[#This Row],[Gold Amt]]+Table1[[#This Row],[Diamond Cost]]</f>
        <v>8979.3017999999993</v>
      </c>
    </row>
    <row r="47" spans="1:11" ht="16.05" customHeight="1" x14ac:dyDescent="0.3">
      <c r="A47" s="3">
        <v>41</v>
      </c>
      <c r="B47" s="4" t="s">
        <v>92</v>
      </c>
      <c r="C47" s="4" t="s">
        <v>91</v>
      </c>
      <c r="D47" s="5" t="s">
        <v>18</v>
      </c>
      <c r="E47" s="6">
        <v>9.0500000000000007</v>
      </c>
      <c r="F47" s="7">
        <v>4829.5</v>
      </c>
      <c r="G47" s="6">
        <v>9.1199999999999992</v>
      </c>
      <c r="H47" s="7">
        <v>722.48639999999989</v>
      </c>
      <c r="I47" s="7">
        <v>131.25</v>
      </c>
      <c r="J47" s="7">
        <v>122.4465</v>
      </c>
      <c r="K47" s="8">
        <f>Table1[[#This Row],[Cert Expense]]+Table1[[#This Row],[Labour Amt]]+Table1[[#This Row],[Gold Amt]]+Table1[[#This Row],[Diamond Cost]]</f>
        <v>5805.6828999999998</v>
      </c>
    </row>
    <row r="48" spans="1:11" ht="16.05" customHeight="1" x14ac:dyDescent="0.3">
      <c r="A48" s="3">
        <v>42</v>
      </c>
      <c r="B48" s="4" t="s">
        <v>94</v>
      </c>
      <c r="C48" s="4" t="s">
        <v>93</v>
      </c>
      <c r="D48" s="5" t="s">
        <v>18</v>
      </c>
      <c r="E48" s="6">
        <v>7.06</v>
      </c>
      <c r="F48" s="7">
        <v>4661.75</v>
      </c>
      <c r="G48" s="6">
        <v>6.4980000000000002</v>
      </c>
      <c r="H48" s="7">
        <v>461.358</v>
      </c>
      <c r="I48" s="7">
        <v>122.5</v>
      </c>
      <c r="J48" s="7">
        <v>95.521799999999985</v>
      </c>
      <c r="K48" s="8">
        <f>Table1[[#This Row],[Cert Expense]]+Table1[[#This Row],[Labour Amt]]+Table1[[#This Row],[Gold Amt]]+Table1[[#This Row],[Diamond Cost]]</f>
        <v>5341.1297999999997</v>
      </c>
    </row>
    <row r="49" spans="1:13" ht="16.05" customHeight="1" x14ac:dyDescent="0.3">
      <c r="A49" s="3">
        <v>43</v>
      </c>
      <c r="B49" s="4" t="s">
        <v>96</v>
      </c>
      <c r="C49" s="4" t="s">
        <v>95</v>
      </c>
      <c r="D49" s="5" t="s">
        <v>18</v>
      </c>
      <c r="E49" s="9">
        <v>4.3</v>
      </c>
      <c r="F49" s="7">
        <v>2151</v>
      </c>
      <c r="G49" s="6">
        <v>8.2799999999999994</v>
      </c>
      <c r="H49" s="7">
        <v>587.88</v>
      </c>
      <c r="I49" s="7">
        <v>122.5</v>
      </c>
      <c r="J49" s="7">
        <v>59.34</v>
      </c>
      <c r="K49" s="8">
        <f>Table1[[#This Row],[Cert Expense]]+Table1[[#This Row],[Labour Amt]]+Table1[[#This Row],[Gold Amt]]+Table1[[#This Row],[Diamond Cost]]</f>
        <v>2920.7200000000003</v>
      </c>
    </row>
    <row r="50" spans="1:13" ht="16.05" customHeight="1" x14ac:dyDescent="0.3">
      <c r="A50" s="3">
        <v>44</v>
      </c>
      <c r="B50" s="4" t="s">
        <v>98</v>
      </c>
      <c r="C50" s="4" t="s">
        <v>97</v>
      </c>
      <c r="D50" s="5" t="s">
        <v>31</v>
      </c>
      <c r="E50" s="6">
        <v>12.03</v>
      </c>
      <c r="F50" s="7">
        <v>6676.65</v>
      </c>
      <c r="G50" s="6">
        <v>11.644</v>
      </c>
      <c r="H50" s="7">
        <v>826.72400000000005</v>
      </c>
      <c r="I50" s="7">
        <v>133.71800000000002</v>
      </c>
      <c r="J50" s="7">
        <v>166.01400000000001</v>
      </c>
      <c r="K50" s="8">
        <f>Table1[[#This Row],[Cert Expense]]+Table1[[#This Row],[Labour Amt]]+Table1[[#This Row],[Gold Amt]]+Table1[[#This Row],[Diamond Cost]]</f>
        <v>7803.1059999999998</v>
      </c>
    </row>
    <row r="51" spans="1:13" ht="16.05" customHeight="1" x14ac:dyDescent="0.3">
      <c r="A51" s="3">
        <v>45</v>
      </c>
      <c r="B51" s="4" t="s">
        <v>100</v>
      </c>
      <c r="C51" s="4" t="s">
        <v>99</v>
      </c>
      <c r="D51" s="5" t="s">
        <v>18</v>
      </c>
      <c r="E51" s="6">
        <v>6.21</v>
      </c>
      <c r="F51" s="7">
        <v>3683</v>
      </c>
      <c r="G51" s="6">
        <v>8.82</v>
      </c>
      <c r="H51" s="7">
        <v>626.22</v>
      </c>
      <c r="I51" s="7">
        <v>122.5</v>
      </c>
      <c r="J51" s="7">
        <v>85.698000000000008</v>
      </c>
      <c r="K51" s="8">
        <f>Table1[[#This Row],[Cert Expense]]+Table1[[#This Row],[Labour Amt]]+Table1[[#This Row],[Gold Amt]]+Table1[[#This Row],[Diamond Cost]]</f>
        <v>4517.4179999999997</v>
      </c>
    </row>
    <row r="52" spans="1:13" ht="16.05" customHeight="1" x14ac:dyDescent="0.3">
      <c r="A52" s="3">
        <v>46</v>
      </c>
      <c r="B52" s="4" t="s">
        <v>102</v>
      </c>
      <c r="C52" s="4" t="s">
        <v>101</v>
      </c>
      <c r="D52" s="5" t="s">
        <v>18</v>
      </c>
      <c r="E52" s="6">
        <v>4.68</v>
      </c>
      <c r="F52" s="7">
        <v>3425.45</v>
      </c>
      <c r="G52" s="6">
        <v>6.6340000000000003</v>
      </c>
      <c r="H52" s="7">
        <v>471.01400000000001</v>
      </c>
      <c r="I52" s="7">
        <v>122.5</v>
      </c>
      <c r="J52" s="7">
        <f>13.8*4.68</f>
        <v>64.584000000000003</v>
      </c>
      <c r="K52" s="8">
        <f>Table1[[#This Row],[Cert Expense]]+Table1[[#This Row],[Labour Amt]]+Table1[[#This Row],[Gold Amt]]+Table1[[#This Row],[Diamond Cost]]</f>
        <v>4083.5479999999998</v>
      </c>
    </row>
    <row r="53" spans="1:13" ht="16.05" customHeight="1" x14ac:dyDescent="0.3">
      <c r="A53" s="3">
        <v>47</v>
      </c>
      <c r="B53" s="4" t="s">
        <v>104</v>
      </c>
      <c r="C53" s="4" t="s">
        <v>103</v>
      </c>
      <c r="D53" s="5" t="s">
        <v>18</v>
      </c>
      <c r="E53" s="6">
        <v>11.71</v>
      </c>
      <c r="F53" s="7">
        <v>7684.55</v>
      </c>
      <c r="G53" s="6">
        <v>21.178000000000001</v>
      </c>
      <c r="H53" s="7">
        <v>1503.6380000000001</v>
      </c>
      <c r="I53" s="7">
        <v>256.30399999999997</v>
      </c>
      <c r="J53" s="7">
        <v>161.59800000000001</v>
      </c>
      <c r="K53" s="8">
        <f>Table1[[#This Row],[Cert Expense]]+Table1[[#This Row],[Labour Amt]]+Table1[[#This Row],[Gold Amt]]+Table1[[#This Row],[Diamond Cost]]</f>
        <v>9606.09</v>
      </c>
    </row>
    <row r="54" spans="1:13" ht="16.05" customHeight="1" x14ac:dyDescent="0.3">
      <c r="A54" s="3">
        <v>48</v>
      </c>
      <c r="B54" s="4" t="s">
        <v>105</v>
      </c>
      <c r="C54" s="4" t="s">
        <v>103</v>
      </c>
      <c r="D54" s="5" t="s">
        <v>18</v>
      </c>
      <c r="E54" s="6">
        <v>11.13</v>
      </c>
      <c r="F54" s="7">
        <v>7071.3</v>
      </c>
      <c r="G54" s="6">
        <v>20.364000000000001</v>
      </c>
      <c r="H54" s="7">
        <v>1445.8440000000001</v>
      </c>
      <c r="I54" s="7">
        <v>251.16200000000001</v>
      </c>
      <c r="J54" s="7">
        <v>153.59400000000002</v>
      </c>
      <c r="K54" s="8">
        <f>Table1[[#This Row],[Cert Expense]]+Table1[[#This Row],[Labour Amt]]+Table1[[#This Row],[Gold Amt]]+Table1[[#This Row],[Diamond Cost]]</f>
        <v>8921.9</v>
      </c>
    </row>
    <row r="55" spans="1:13" ht="16.05" customHeight="1" x14ac:dyDescent="0.3">
      <c r="A55" s="3">
        <v>49</v>
      </c>
      <c r="B55" s="4" t="s">
        <v>107</v>
      </c>
      <c r="C55" s="4" t="s">
        <v>106</v>
      </c>
      <c r="D55" s="5" t="s">
        <v>18</v>
      </c>
      <c r="E55" s="6">
        <v>6.38</v>
      </c>
      <c r="F55" s="7">
        <v>4171</v>
      </c>
      <c r="G55" s="6">
        <v>5.9340000000000002</v>
      </c>
      <c r="H55" s="7">
        <v>421.31400000000002</v>
      </c>
      <c r="I55" s="7">
        <v>122.5</v>
      </c>
      <c r="J55" s="7">
        <v>88.043999999999997</v>
      </c>
      <c r="K55" s="8">
        <f>Table1[[#This Row],[Cert Expense]]+Table1[[#This Row],[Labour Amt]]+Table1[[#This Row],[Gold Amt]]+Table1[[#This Row],[Diamond Cost]]</f>
        <v>4802.8580000000002</v>
      </c>
    </row>
    <row r="56" spans="1:13" ht="16.05" customHeight="1" x14ac:dyDescent="0.3">
      <c r="A56" s="3">
        <v>50</v>
      </c>
      <c r="B56" s="4" t="s">
        <v>109</v>
      </c>
      <c r="C56" s="4" t="s">
        <v>108</v>
      </c>
      <c r="D56" s="5" t="s">
        <v>18</v>
      </c>
      <c r="E56" s="9">
        <v>4.0999999999999996</v>
      </c>
      <c r="F56" s="7">
        <v>3110</v>
      </c>
      <c r="G56" s="6">
        <v>5.28</v>
      </c>
      <c r="H56" s="7">
        <v>374.88</v>
      </c>
      <c r="I56" s="7">
        <v>122.5</v>
      </c>
      <c r="J56" s="7">
        <v>58.08</v>
      </c>
      <c r="K56" s="8">
        <f>Table1[[#This Row],[Cert Expense]]+Table1[[#This Row],[Labour Amt]]+Table1[[#This Row],[Gold Amt]]+Table1[[#This Row],[Diamond Cost]]</f>
        <v>3665.46</v>
      </c>
    </row>
    <row r="57" spans="1:13" ht="16.05" customHeight="1" x14ac:dyDescent="0.3">
      <c r="A57" s="3">
        <v>51</v>
      </c>
      <c r="B57" s="4" t="s">
        <v>180</v>
      </c>
      <c r="C57" s="4" t="s">
        <v>110</v>
      </c>
      <c r="D57" s="5" t="s">
        <v>18</v>
      </c>
      <c r="E57" s="6">
        <v>5.01</v>
      </c>
      <c r="F57" s="7">
        <v>3014.65</v>
      </c>
      <c r="G57" s="6">
        <v>8.94</v>
      </c>
      <c r="H57" s="7">
        <v>634.74</v>
      </c>
      <c r="I57" s="7">
        <v>122.5</v>
      </c>
      <c r="J57" s="7">
        <v>0</v>
      </c>
      <c r="K57" s="8">
        <f>Table1[[#This Row],[Cert Expense]]+Table1[[#This Row],[Labour Amt]]+Table1[[#This Row],[Gold Amt]]+Table1[[#This Row],[Diamond Cost]]</f>
        <v>3771.8900000000003</v>
      </c>
    </row>
    <row r="58" spans="1:13" ht="16.05" customHeight="1" x14ac:dyDescent="0.3">
      <c r="A58" s="3">
        <v>52</v>
      </c>
      <c r="B58" s="4" t="s">
        <v>111</v>
      </c>
      <c r="C58" s="4" t="s">
        <v>108</v>
      </c>
      <c r="D58" s="5" t="s">
        <v>18</v>
      </c>
      <c r="E58" s="6">
        <v>4.51</v>
      </c>
      <c r="F58" s="7">
        <v>3396.5</v>
      </c>
      <c r="G58" s="6">
        <v>6.4279999999999999</v>
      </c>
      <c r="H58" s="7">
        <v>456.38799999999998</v>
      </c>
      <c r="I58" s="7">
        <v>122.5</v>
      </c>
      <c r="J58" s="7">
        <v>62.508599999999994</v>
      </c>
      <c r="K58" s="8">
        <f>Table1[[#This Row],[Cert Expense]]+Table1[[#This Row],[Labour Amt]]+Table1[[#This Row],[Gold Amt]]+Table1[[#This Row],[Diamond Cost]]</f>
        <v>4037.8966</v>
      </c>
    </row>
    <row r="59" spans="1:13" ht="16.05" customHeight="1" x14ac:dyDescent="0.3">
      <c r="A59" s="3">
        <v>53</v>
      </c>
      <c r="B59" s="4" t="s">
        <v>113</v>
      </c>
      <c r="C59" s="4" t="s">
        <v>112</v>
      </c>
      <c r="D59" s="5" t="s">
        <v>18</v>
      </c>
      <c r="E59" s="6">
        <v>7.84</v>
      </c>
      <c r="F59" s="7">
        <v>4139</v>
      </c>
      <c r="G59" s="6">
        <v>7.1219999999999999</v>
      </c>
      <c r="H59" s="7">
        <v>505.66199999999998</v>
      </c>
      <c r="I59" s="7">
        <v>122.5</v>
      </c>
      <c r="J59" s="7">
        <v>108.19200000000001</v>
      </c>
      <c r="K59" s="8">
        <f>Table1[[#This Row],[Cert Expense]]+Table1[[#This Row],[Labour Amt]]+Table1[[#This Row],[Gold Amt]]+Table1[[#This Row],[Diamond Cost]]</f>
        <v>4875.3540000000003</v>
      </c>
    </row>
    <row r="60" spans="1:13" ht="16.05" customHeight="1" x14ac:dyDescent="0.3">
      <c r="A60" s="3">
        <v>54</v>
      </c>
      <c r="B60" s="4" t="s">
        <v>115</v>
      </c>
      <c r="C60" s="4" t="s">
        <v>114</v>
      </c>
      <c r="D60" s="5" t="s">
        <v>18</v>
      </c>
      <c r="E60" s="6">
        <v>12.27</v>
      </c>
      <c r="F60" s="7">
        <v>7567.5</v>
      </c>
      <c r="G60" s="6">
        <v>8.5459999999999994</v>
      </c>
      <c r="H60" s="7">
        <v>606.76599999999996</v>
      </c>
      <c r="I60" s="7">
        <v>122.5</v>
      </c>
      <c r="J60" s="7">
        <v>169.32599999999999</v>
      </c>
      <c r="K60" s="8">
        <f>Table1[[#This Row],[Cert Expense]]+Table1[[#This Row],[Labour Amt]]+Table1[[#This Row],[Gold Amt]]+Table1[[#This Row],[Diamond Cost]]</f>
        <v>8466.0920000000006</v>
      </c>
      <c r="M60" s="2"/>
    </row>
    <row r="61" spans="1:13" ht="16.05" customHeight="1" x14ac:dyDescent="0.3">
      <c r="A61" s="3">
        <v>55</v>
      </c>
      <c r="B61" s="4" t="s">
        <v>116</v>
      </c>
      <c r="C61" s="4" t="s">
        <v>114</v>
      </c>
      <c r="D61" s="5" t="s">
        <v>18</v>
      </c>
      <c r="E61" s="9">
        <v>13.5</v>
      </c>
      <c r="F61" s="7">
        <v>8225</v>
      </c>
      <c r="G61" s="6">
        <v>10.34</v>
      </c>
      <c r="H61" s="7">
        <v>734.14</v>
      </c>
      <c r="I61" s="7">
        <v>122.5</v>
      </c>
      <c r="J61" s="7">
        <v>186.3</v>
      </c>
      <c r="K61" s="8">
        <f>Table1[[#This Row],[Cert Expense]]+Table1[[#This Row],[Labour Amt]]+Table1[[#This Row],[Gold Amt]]+Table1[[#This Row],[Diamond Cost]]</f>
        <v>9267.94</v>
      </c>
    </row>
    <row r="62" spans="1:13" ht="16.05" customHeight="1" x14ac:dyDescent="0.3">
      <c r="A62" s="3">
        <v>56</v>
      </c>
      <c r="B62" s="4" t="s">
        <v>118</v>
      </c>
      <c r="C62" s="4" t="s">
        <v>117</v>
      </c>
      <c r="D62" s="5" t="s">
        <v>18</v>
      </c>
      <c r="E62" s="6">
        <v>3.34</v>
      </c>
      <c r="F62" s="7">
        <v>2474.25</v>
      </c>
      <c r="G62" s="6">
        <v>6.1820000000000004</v>
      </c>
      <c r="H62" s="7">
        <v>498.57830000000007</v>
      </c>
      <c r="I62" s="7">
        <v>122.62</v>
      </c>
      <c r="J62" s="7">
        <v>46.091999999999999</v>
      </c>
      <c r="K62" s="8">
        <f>Table1[[#This Row],[Cert Expense]]+Table1[[#This Row],[Labour Amt]]+Table1[[#This Row],[Gold Amt]]+Table1[[#This Row],[Diamond Cost]]</f>
        <v>3141.5403000000001</v>
      </c>
    </row>
    <row r="63" spans="1:13" ht="16.05" customHeight="1" x14ac:dyDescent="0.3">
      <c r="A63" s="3">
        <v>57</v>
      </c>
      <c r="B63" s="4" t="s">
        <v>120</v>
      </c>
      <c r="C63" s="4" t="s">
        <v>119</v>
      </c>
      <c r="D63" s="5" t="s">
        <v>18</v>
      </c>
      <c r="E63" s="6">
        <v>4.74</v>
      </c>
      <c r="F63" s="7">
        <v>3289.9</v>
      </c>
      <c r="G63" s="6">
        <v>8.0020000000000007</v>
      </c>
      <c r="H63" s="7">
        <v>645.36130000000014</v>
      </c>
      <c r="I63" s="7">
        <v>122.62</v>
      </c>
      <c r="J63" s="7">
        <v>65.696399999999997</v>
      </c>
      <c r="K63" s="8">
        <f>Table1[[#This Row],[Cert Expense]]+Table1[[#This Row],[Labour Amt]]+Table1[[#This Row],[Gold Amt]]+Table1[[#This Row],[Diamond Cost]]</f>
        <v>4123.5776999999998</v>
      </c>
    </row>
    <row r="64" spans="1:13" ht="16.05" customHeight="1" x14ac:dyDescent="0.3">
      <c r="A64" s="3">
        <v>58</v>
      </c>
      <c r="B64" s="4" t="s">
        <v>122</v>
      </c>
      <c r="C64" s="4" t="s">
        <v>121</v>
      </c>
      <c r="D64" s="5" t="s">
        <v>18</v>
      </c>
      <c r="E64" s="6">
        <v>5.0199999999999996</v>
      </c>
      <c r="F64" s="7">
        <v>3370.3</v>
      </c>
      <c r="G64" s="6">
        <v>8.3160000000000007</v>
      </c>
      <c r="H64" s="7">
        <v>670.68540000000007</v>
      </c>
      <c r="I64" s="7">
        <v>122.62</v>
      </c>
      <c r="J64" s="7">
        <v>69.275999999999996</v>
      </c>
      <c r="K64" s="8">
        <f>Table1[[#This Row],[Cert Expense]]+Table1[[#This Row],[Labour Amt]]+Table1[[#This Row],[Gold Amt]]+Table1[[#This Row],[Diamond Cost]]</f>
        <v>4232.8814000000002</v>
      </c>
    </row>
    <row r="65" spans="1:11" ht="16.05" customHeight="1" x14ac:dyDescent="0.3">
      <c r="A65" s="3">
        <v>59</v>
      </c>
      <c r="B65" s="4" t="s">
        <v>30</v>
      </c>
      <c r="C65" s="4" t="s">
        <v>9</v>
      </c>
      <c r="D65" s="5" t="s">
        <v>18</v>
      </c>
      <c r="E65" s="6">
        <v>28.36</v>
      </c>
      <c r="F65" s="7">
        <v>21696.87</v>
      </c>
      <c r="G65" s="6">
        <v>40.468000000000004</v>
      </c>
      <c r="H65" s="7">
        <v>3302.9981600000006</v>
      </c>
      <c r="I65" s="7">
        <v>463</v>
      </c>
      <c r="J65" s="7">
        <v>0</v>
      </c>
      <c r="K65" s="8">
        <f>Table1[[#This Row],[Cert Expense]]+Table1[[#This Row],[Labour Amt]]+Table1[[#This Row],[Gold Amt]]+Table1[[#This Row],[Diamond Cost]]</f>
        <v>25462.868159999998</v>
      </c>
    </row>
    <row r="66" spans="1:11" ht="16.05" customHeight="1" x14ac:dyDescent="0.3">
      <c r="A66" s="3">
        <v>60</v>
      </c>
      <c r="B66" s="4" t="s">
        <v>123</v>
      </c>
      <c r="C66" s="4" t="s">
        <v>50</v>
      </c>
      <c r="D66" s="5" t="s">
        <v>40</v>
      </c>
      <c r="E66" s="9">
        <v>8.3000000000000007</v>
      </c>
      <c r="F66" s="7">
        <v>3984.0000000000005</v>
      </c>
      <c r="G66" s="6">
        <v>7.12</v>
      </c>
      <c r="H66" s="7">
        <v>581.13440000000003</v>
      </c>
      <c r="I66" s="7">
        <v>133.41</v>
      </c>
      <c r="J66" s="7">
        <v>114.54000000000002</v>
      </c>
      <c r="K66" s="8">
        <f>Table1[[#This Row],[Cert Expense]]+Table1[[#This Row],[Labour Amt]]+Table1[[#This Row],[Gold Amt]]+Table1[[#This Row],[Diamond Cost]]</f>
        <v>4813.0844000000006</v>
      </c>
    </row>
    <row r="67" spans="1:11" ht="16.05" customHeight="1" x14ac:dyDescent="0.3">
      <c r="A67" s="3">
        <v>61</v>
      </c>
      <c r="B67" s="4" t="s">
        <v>124</v>
      </c>
      <c r="C67" s="4" t="s">
        <v>89</v>
      </c>
      <c r="D67" s="5" t="s">
        <v>18</v>
      </c>
      <c r="E67" s="6">
        <v>13.54</v>
      </c>
      <c r="F67" s="7">
        <v>7993.4</v>
      </c>
      <c r="G67" s="6">
        <v>12.932</v>
      </c>
      <c r="H67" s="7">
        <v>1055.5098400000002</v>
      </c>
      <c r="I67" s="7">
        <v>197.7</v>
      </c>
      <c r="J67" s="7">
        <v>186.852</v>
      </c>
      <c r="K67" s="8">
        <f>Table1[[#This Row],[Cert Expense]]+Table1[[#This Row],[Labour Amt]]+Table1[[#This Row],[Gold Amt]]+Table1[[#This Row],[Diamond Cost]]</f>
        <v>9433.4618399999999</v>
      </c>
    </row>
    <row r="68" spans="1:11" ht="16.05" customHeight="1" x14ac:dyDescent="0.3">
      <c r="A68" s="3">
        <v>62</v>
      </c>
      <c r="B68" s="4" t="s">
        <v>126</v>
      </c>
      <c r="C68" s="4" t="s">
        <v>125</v>
      </c>
      <c r="D68" s="5" t="s">
        <v>18</v>
      </c>
      <c r="E68" s="6">
        <v>9.43</v>
      </c>
      <c r="F68" s="7">
        <v>5083.5</v>
      </c>
      <c r="G68" s="6">
        <v>10.954000000000001</v>
      </c>
      <c r="H68" s="7">
        <v>894.06548000000009</v>
      </c>
      <c r="I68" s="7">
        <v>184.87</v>
      </c>
      <c r="J68" s="7">
        <v>130.13400000000001</v>
      </c>
      <c r="K68" s="8">
        <f>Table1[[#This Row],[Cert Expense]]+Table1[[#This Row],[Labour Amt]]+Table1[[#This Row],[Gold Amt]]+Table1[[#This Row],[Diamond Cost]]</f>
        <v>6292.5694800000001</v>
      </c>
    </row>
    <row r="69" spans="1:11" ht="16.05" customHeight="1" x14ac:dyDescent="0.3">
      <c r="A69" s="3">
        <v>63</v>
      </c>
      <c r="B69" s="4" t="s">
        <v>127</v>
      </c>
      <c r="C69" s="4" t="s">
        <v>91</v>
      </c>
      <c r="D69" s="5" t="s">
        <v>18</v>
      </c>
      <c r="E69" s="6">
        <v>15.91</v>
      </c>
      <c r="F69" s="7">
        <v>9753.5</v>
      </c>
      <c r="G69" s="6">
        <v>12.128</v>
      </c>
      <c r="H69" s="7">
        <v>989.88736000000006</v>
      </c>
      <c r="I69" s="7">
        <v>188.06</v>
      </c>
      <c r="J69" s="7">
        <v>219.55800000000002</v>
      </c>
      <c r="K69" s="8">
        <f>Table1[[#This Row],[Cert Expense]]+Table1[[#This Row],[Labour Amt]]+Table1[[#This Row],[Gold Amt]]+Table1[[#This Row],[Diamond Cost]]</f>
        <v>11151.005359999999</v>
      </c>
    </row>
    <row r="70" spans="1:11" ht="16.05" customHeight="1" x14ac:dyDescent="0.3">
      <c r="A70" s="3">
        <v>64</v>
      </c>
      <c r="B70" s="4" t="s">
        <v>129</v>
      </c>
      <c r="C70" s="4" t="s">
        <v>128</v>
      </c>
      <c r="D70" s="5" t="s">
        <v>40</v>
      </c>
      <c r="E70" s="6">
        <v>5.53</v>
      </c>
      <c r="F70" s="7">
        <v>3316.75</v>
      </c>
      <c r="G70" s="6">
        <v>7.4740000000000002</v>
      </c>
      <c r="H70" s="7">
        <v>610.0278800000001</v>
      </c>
      <c r="I70" s="7">
        <v>126.75800000000001</v>
      </c>
      <c r="J70" s="7">
        <v>76.314000000000007</v>
      </c>
      <c r="K70" s="8">
        <f>Table1[[#This Row],[Cert Expense]]+Table1[[#This Row],[Labour Amt]]+Table1[[#This Row],[Gold Amt]]+Table1[[#This Row],[Diamond Cost]]</f>
        <v>4129.8498799999998</v>
      </c>
    </row>
    <row r="71" spans="1:11" ht="16.05" customHeight="1" x14ac:dyDescent="0.3">
      <c r="A71" s="3">
        <v>65</v>
      </c>
      <c r="B71" s="4" t="s">
        <v>131</v>
      </c>
      <c r="C71" s="4" t="s">
        <v>130</v>
      </c>
      <c r="D71" s="5" t="s">
        <v>132</v>
      </c>
      <c r="E71" s="9">
        <v>8.5</v>
      </c>
      <c r="F71" s="7">
        <v>4497</v>
      </c>
      <c r="G71" s="6">
        <v>10.57</v>
      </c>
      <c r="H71" s="7">
        <v>862.72340000000008</v>
      </c>
      <c r="I71" s="7">
        <v>178.21</v>
      </c>
      <c r="J71" s="7">
        <v>117.30000000000001</v>
      </c>
      <c r="K71" s="8">
        <f>Table1[[#This Row],[Cert Expense]]+Table1[[#This Row],[Labour Amt]]+Table1[[#This Row],[Gold Amt]]+Table1[[#This Row],[Diamond Cost]]</f>
        <v>5655.2334000000001</v>
      </c>
    </row>
    <row r="72" spans="1:11" ht="16.05" customHeight="1" x14ac:dyDescent="0.3">
      <c r="A72" s="3">
        <v>66</v>
      </c>
      <c r="B72" s="4" t="s">
        <v>133</v>
      </c>
      <c r="C72" s="4" t="s">
        <v>130</v>
      </c>
      <c r="D72" s="5" t="s">
        <v>18</v>
      </c>
      <c r="E72" s="6">
        <v>9.25</v>
      </c>
      <c r="F72" s="7">
        <v>4800.5</v>
      </c>
      <c r="G72" s="6">
        <v>12.65</v>
      </c>
      <c r="H72" s="7">
        <v>1032.4930000000002</v>
      </c>
      <c r="I72" s="7">
        <v>209.99</v>
      </c>
      <c r="J72" s="7">
        <v>127.65</v>
      </c>
      <c r="K72" s="8">
        <f>Table1[[#This Row],[Cert Expense]]+Table1[[#This Row],[Labour Amt]]+Table1[[#This Row],[Gold Amt]]+Table1[[#This Row],[Diamond Cost]]</f>
        <v>6170.6329999999998</v>
      </c>
    </row>
    <row r="73" spans="1:11" ht="16.05" customHeight="1" x14ac:dyDescent="0.3">
      <c r="A73" s="3">
        <v>67</v>
      </c>
      <c r="B73" s="4" t="s">
        <v>135</v>
      </c>
      <c r="C73" s="4" t="s">
        <v>134</v>
      </c>
      <c r="D73" s="5" t="s">
        <v>18</v>
      </c>
      <c r="E73" s="6">
        <v>5.05</v>
      </c>
      <c r="F73" s="7">
        <v>3147.5</v>
      </c>
      <c r="G73" s="6">
        <v>7.03</v>
      </c>
      <c r="H73" s="7">
        <v>573.78860000000009</v>
      </c>
      <c r="I73" s="7">
        <v>125.52</v>
      </c>
      <c r="J73" s="7">
        <v>69.69</v>
      </c>
      <c r="K73" s="8">
        <f>Table1[[#This Row],[Cert Expense]]+Table1[[#This Row],[Labour Amt]]+Table1[[#This Row],[Gold Amt]]+Table1[[#This Row],[Diamond Cost]]</f>
        <v>3916.4985999999999</v>
      </c>
    </row>
    <row r="74" spans="1:11" ht="16.05" customHeight="1" x14ac:dyDescent="0.3">
      <c r="A74" s="3">
        <v>68</v>
      </c>
      <c r="B74" s="4" t="s">
        <v>137</v>
      </c>
      <c r="C74" s="4" t="s">
        <v>136</v>
      </c>
      <c r="D74" s="5" t="s">
        <v>18</v>
      </c>
      <c r="E74" s="6">
        <v>10.18</v>
      </c>
      <c r="F74" s="7">
        <v>5966.04</v>
      </c>
      <c r="G74" s="6">
        <v>9.2140000000000004</v>
      </c>
      <c r="H74" s="7">
        <v>752.04668000000004</v>
      </c>
      <c r="I74" s="7">
        <v>161.25800000000001</v>
      </c>
      <c r="J74" s="7">
        <v>140.48400000000001</v>
      </c>
      <c r="K74" s="8">
        <f>Table1[[#This Row],[Cert Expense]]+Table1[[#This Row],[Labour Amt]]+Table1[[#This Row],[Gold Amt]]+Table1[[#This Row],[Diamond Cost]]</f>
        <v>7019.8286800000005</v>
      </c>
    </row>
    <row r="75" spans="1:11" ht="16.05" customHeight="1" x14ac:dyDescent="0.3">
      <c r="A75" s="3">
        <v>69</v>
      </c>
      <c r="B75" s="4" t="s">
        <v>138</v>
      </c>
      <c r="C75" s="4" t="s">
        <v>50</v>
      </c>
      <c r="D75" s="5" t="s">
        <v>33</v>
      </c>
      <c r="E75" s="6">
        <v>10.210000000000001</v>
      </c>
      <c r="F75" s="7">
        <v>6636.5000000000009</v>
      </c>
      <c r="G75" s="6">
        <v>10.497999999999999</v>
      </c>
      <c r="H75" s="7">
        <v>856.84676000000002</v>
      </c>
      <c r="I75" s="7">
        <v>172.596</v>
      </c>
      <c r="J75" s="7">
        <v>140.89800000000002</v>
      </c>
      <c r="K75" s="8">
        <f>Table1[[#This Row],[Cert Expense]]+Table1[[#This Row],[Labour Amt]]+Table1[[#This Row],[Gold Amt]]+Table1[[#This Row],[Diamond Cost]]</f>
        <v>7806.840760000001</v>
      </c>
    </row>
    <row r="76" spans="1:11" ht="16.05" customHeight="1" x14ac:dyDescent="0.3">
      <c r="A76" s="3">
        <v>70</v>
      </c>
      <c r="B76" s="4" t="s">
        <v>140</v>
      </c>
      <c r="C76" s="4" t="s">
        <v>139</v>
      </c>
      <c r="D76" s="5" t="s">
        <v>18</v>
      </c>
      <c r="E76" s="6">
        <v>8.57</v>
      </c>
      <c r="F76" s="7">
        <v>4497.5</v>
      </c>
      <c r="G76" s="6">
        <v>7.6159999999999997</v>
      </c>
      <c r="H76" s="7">
        <v>621.61792000000003</v>
      </c>
      <c r="I76" s="7">
        <v>143.44200000000001</v>
      </c>
      <c r="J76" s="7">
        <v>118.26600000000001</v>
      </c>
      <c r="K76" s="8">
        <f>Table1[[#This Row],[Cert Expense]]+Table1[[#This Row],[Labour Amt]]+Table1[[#This Row],[Gold Amt]]+Table1[[#This Row],[Diamond Cost]]</f>
        <v>5380.8259200000002</v>
      </c>
    </row>
    <row r="77" spans="1:11" ht="16.05" customHeight="1" x14ac:dyDescent="0.3">
      <c r="A77" s="3">
        <v>71</v>
      </c>
      <c r="B77" s="4" t="s">
        <v>142</v>
      </c>
      <c r="C77" s="4" t="s">
        <v>141</v>
      </c>
      <c r="D77" s="5" t="s">
        <v>18</v>
      </c>
      <c r="E77" s="6">
        <v>6.81</v>
      </c>
      <c r="F77" s="7">
        <v>4050</v>
      </c>
      <c r="G77" s="6">
        <v>7.6180000000000003</v>
      </c>
      <c r="H77" s="7">
        <v>610.35416000000009</v>
      </c>
      <c r="I77" s="7">
        <v>139.93799999999999</v>
      </c>
      <c r="J77" s="7">
        <v>94.386599999999987</v>
      </c>
      <c r="K77" s="8">
        <f>Table1[[#This Row],[Cert Expense]]+Table1[[#This Row],[Labour Amt]]+Table1[[#This Row],[Gold Amt]]+Table1[[#This Row],[Diamond Cost]]</f>
        <v>4894.6787599999998</v>
      </c>
    </row>
    <row r="78" spans="1:11" ht="16.05" customHeight="1" x14ac:dyDescent="0.3">
      <c r="A78" s="3">
        <v>72</v>
      </c>
      <c r="B78" s="4" t="s">
        <v>144</v>
      </c>
      <c r="C78" s="4" t="s">
        <v>143</v>
      </c>
      <c r="D78" s="5" t="s">
        <v>18</v>
      </c>
      <c r="E78" s="6">
        <v>5.74</v>
      </c>
      <c r="F78" s="7">
        <v>5843.82</v>
      </c>
      <c r="G78" s="6">
        <v>8.4619999999999997</v>
      </c>
      <c r="H78" s="7">
        <v>677.97544000000005</v>
      </c>
      <c r="I78" s="7">
        <v>140.654</v>
      </c>
      <c r="J78" s="7">
        <v>79.212000000000003</v>
      </c>
      <c r="K78" s="8">
        <f>Table1[[#This Row],[Cert Expense]]+Table1[[#This Row],[Labour Amt]]+Table1[[#This Row],[Gold Amt]]+Table1[[#This Row],[Diamond Cost]]</f>
        <v>6741.6614399999999</v>
      </c>
    </row>
    <row r="79" spans="1:11" ht="16.05" customHeight="1" x14ac:dyDescent="0.3">
      <c r="A79" s="3">
        <v>73</v>
      </c>
      <c r="B79" s="4" t="s">
        <v>146</v>
      </c>
      <c r="C79" s="4" t="s">
        <v>145</v>
      </c>
      <c r="D79" s="5" t="s">
        <v>18</v>
      </c>
      <c r="E79" s="6">
        <v>6.72</v>
      </c>
      <c r="F79" s="7">
        <v>3408.3</v>
      </c>
      <c r="G79" s="6">
        <v>10.036</v>
      </c>
      <c r="H79" s="7">
        <v>804.08432000000005</v>
      </c>
      <c r="I79" s="7">
        <v>175.21199999999999</v>
      </c>
      <c r="J79" s="7">
        <v>92.736000000000004</v>
      </c>
      <c r="K79" s="8">
        <f>Table1[[#This Row],[Cert Expense]]+Table1[[#This Row],[Labour Amt]]+Table1[[#This Row],[Gold Amt]]+Table1[[#This Row],[Diamond Cost]]</f>
        <v>4480.3323200000004</v>
      </c>
    </row>
    <row r="80" spans="1:11" ht="16.05" customHeight="1" x14ac:dyDescent="0.3">
      <c r="A80" s="3">
        <v>74</v>
      </c>
      <c r="B80" s="4" t="s">
        <v>148</v>
      </c>
      <c r="C80" s="4" t="s">
        <v>147</v>
      </c>
      <c r="D80" s="5" t="s">
        <v>18</v>
      </c>
      <c r="E80" s="6">
        <v>7.95</v>
      </c>
      <c r="F80" s="7">
        <v>6103.5</v>
      </c>
      <c r="G80" s="6">
        <v>9.09</v>
      </c>
      <c r="H80" s="7">
        <v>728.29079999999999</v>
      </c>
      <c r="I80" s="7">
        <v>148.87</v>
      </c>
      <c r="J80" s="7">
        <v>109.71000000000001</v>
      </c>
      <c r="K80" s="8">
        <f>Table1[[#This Row],[Cert Expense]]+Table1[[#This Row],[Labour Amt]]+Table1[[#This Row],[Gold Amt]]+Table1[[#This Row],[Diamond Cost]]</f>
        <v>7090.3707999999997</v>
      </c>
    </row>
    <row r="81" spans="1:13" ht="16.05" customHeight="1" x14ac:dyDescent="0.3">
      <c r="A81" s="3">
        <v>75</v>
      </c>
      <c r="B81" s="4" t="s">
        <v>149</v>
      </c>
      <c r="C81" s="4" t="s">
        <v>145</v>
      </c>
      <c r="D81" s="5" t="s">
        <v>18</v>
      </c>
      <c r="E81" s="6">
        <v>7.19</v>
      </c>
      <c r="F81" s="7">
        <v>3759.49</v>
      </c>
      <c r="G81" s="6">
        <v>7.2220000000000004</v>
      </c>
      <c r="H81" s="7">
        <v>578.62664000000007</v>
      </c>
      <c r="I81" s="7">
        <v>137.35399999999998</v>
      </c>
      <c r="J81" s="7">
        <v>99.222000000000008</v>
      </c>
      <c r="K81" s="8">
        <f>Table1[[#This Row],[Cert Expense]]+Table1[[#This Row],[Labour Amt]]+Table1[[#This Row],[Gold Amt]]+Table1[[#This Row],[Diamond Cost]]</f>
        <v>4574.6926400000002</v>
      </c>
    </row>
    <row r="82" spans="1:13" ht="16.05" customHeight="1" x14ac:dyDescent="0.3">
      <c r="A82" s="3">
        <v>76</v>
      </c>
      <c r="B82" s="4" t="s">
        <v>151</v>
      </c>
      <c r="C82" s="4" t="s">
        <v>150</v>
      </c>
      <c r="D82" s="5" t="s">
        <v>18</v>
      </c>
      <c r="E82" s="6">
        <v>10.73</v>
      </c>
      <c r="F82" s="7">
        <v>6484.55</v>
      </c>
      <c r="G82" s="6">
        <v>12.273999999999999</v>
      </c>
      <c r="H82" s="7">
        <v>983.39287999999999</v>
      </c>
      <c r="I82" s="7">
        <v>177</v>
      </c>
      <c r="J82" s="7">
        <v>148.07400000000001</v>
      </c>
      <c r="K82" s="8">
        <f>Table1[[#This Row],[Cert Expense]]+Table1[[#This Row],[Labour Amt]]+Table1[[#This Row],[Gold Amt]]+Table1[[#This Row],[Diamond Cost]]</f>
        <v>7793.0168800000001</v>
      </c>
    </row>
    <row r="83" spans="1:13" ht="16.05" customHeight="1" x14ac:dyDescent="0.3">
      <c r="A83" s="3">
        <v>77</v>
      </c>
      <c r="B83" s="4" t="s">
        <v>153</v>
      </c>
      <c r="C83" s="4" t="s">
        <v>152</v>
      </c>
      <c r="D83" s="5" t="s">
        <v>18</v>
      </c>
      <c r="E83" s="6">
        <v>7.49</v>
      </c>
      <c r="F83" s="7">
        <v>4251</v>
      </c>
      <c r="G83" s="6">
        <v>9.2919999999999998</v>
      </c>
      <c r="H83" s="7">
        <v>744.47504000000004</v>
      </c>
      <c r="I83" s="7">
        <v>158.124</v>
      </c>
      <c r="J83" s="7">
        <v>103.36200000000001</v>
      </c>
      <c r="K83" s="8">
        <f>Table1[[#This Row],[Cert Expense]]+Table1[[#This Row],[Labour Amt]]+Table1[[#This Row],[Gold Amt]]+Table1[[#This Row],[Diamond Cost]]</f>
        <v>5256.9610400000001</v>
      </c>
    </row>
    <row r="84" spans="1:13" ht="16.05" customHeight="1" x14ac:dyDescent="0.3">
      <c r="A84" s="3">
        <v>78</v>
      </c>
      <c r="B84" s="4" t="s">
        <v>154</v>
      </c>
      <c r="C84" s="4" t="s">
        <v>103</v>
      </c>
      <c r="D84" s="5" t="s">
        <v>18</v>
      </c>
      <c r="E84" s="6">
        <v>11.67</v>
      </c>
      <c r="F84" s="7">
        <v>7640.1</v>
      </c>
      <c r="G84" s="6">
        <v>20.606000000000002</v>
      </c>
      <c r="H84" s="7">
        <v>1542.9772800000001</v>
      </c>
      <c r="I84" s="7">
        <v>251.72800000000001</v>
      </c>
      <c r="J84" s="7">
        <v>161.04600000000002</v>
      </c>
      <c r="K84" s="8">
        <f>Table1[[#This Row],[Cert Expense]]+Table1[[#This Row],[Labour Amt]]+Table1[[#This Row],[Gold Amt]]+Table1[[#This Row],[Diamond Cost]]</f>
        <v>9595.8512800000008</v>
      </c>
    </row>
    <row r="85" spans="1:13" ht="16.05" customHeight="1" x14ac:dyDescent="0.3">
      <c r="A85" s="3">
        <v>79</v>
      </c>
      <c r="B85" s="4" t="s">
        <v>155</v>
      </c>
      <c r="C85" s="4" t="s">
        <v>103</v>
      </c>
      <c r="D85" s="5" t="s">
        <v>18</v>
      </c>
      <c r="E85" s="6">
        <v>18.71</v>
      </c>
      <c r="F85" s="7">
        <v>11730</v>
      </c>
      <c r="G85" s="6">
        <v>21.558</v>
      </c>
      <c r="H85" s="7">
        <v>2198.4848400000001</v>
      </c>
      <c r="I85" s="7">
        <v>247.774</v>
      </c>
      <c r="J85" s="7">
        <v>259.32060000000001</v>
      </c>
      <c r="K85" s="8">
        <f>Table1[[#This Row],[Cert Expense]]+Table1[[#This Row],[Labour Amt]]+Table1[[#This Row],[Gold Amt]]+Table1[[#This Row],[Diamond Cost]]</f>
        <v>14435.57944</v>
      </c>
    </row>
    <row r="86" spans="1:13" ht="16.05" customHeight="1" x14ac:dyDescent="0.3">
      <c r="A86" s="3">
        <v>80</v>
      </c>
      <c r="B86" s="4" t="s">
        <v>156</v>
      </c>
      <c r="C86" s="4" t="s">
        <v>44</v>
      </c>
      <c r="D86" s="5" t="s">
        <v>18</v>
      </c>
      <c r="E86" s="6">
        <v>13.11</v>
      </c>
      <c r="F86" s="7">
        <v>6845.75</v>
      </c>
      <c r="G86" s="6">
        <v>19.417999999999999</v>
      </c>
      <c r="H86" s="7">
        <v>1980.24764</v>
      </c>
      <c r="I86" s="7">
        <v>273.5</v>
      </c>
      <c r="J86" s="7">
        <v>182.09790000000001</v>
      </c>
      <c r="K86" s="8">
        <f>Table1[[#This Row],[Cert Expense]]+Table1[[#This Row],[Labour Amt]]+Table1[[#This Row],[Gold Amt]]+Table1[[#This Row],[Diamond Cost]]</f>
        <v>9281.5955400000003</v>
      </c>
    </row>
    <row r="87" spans="1:13" ht="16.05" customHeight="1" x14ac:dyDescent="0.3">
      <c r="A87" s="3">
        <v>81</v>
      </c>
      <c r="B87" s="4" t="s">
        <v>157</v>
      </c>
      <c r="C87" s="4" t="s">
        <v>44</v>
      </c>
      <c r="D87" s="5" t="s">
        <v>18</v>
      </c>
      <c r="E87" s="9">
        <v>13.4</v>
      </c>
      <c r="F87" s="7">
        <v>7265.55</v>
      </c>
      <c r="G87" s="6">
        <v>19.84</v>
      </c>
      <c r="H87" s="7">
        <v>2023.2832000000001</v>
      </c>
      <c r="I87" s="7">
        <v>273.09000000000003</v>
      </c>
      <c r="J87" s="7">
        <v>186.126</v>
      </c>
      <c r="K87" s="8">
        <f>Table1[[#This Row],[Cert Expense]]+Table1[[#This Row],[Labour Amt]]+Table1[[#This Row],[Gold Amt]]+Table1[[#This Row],[Diamond Cost]]</f>
        <v>9748.0492000000013</v>
      </c>
    </row>
    <row r="88" spans="1:13" ht="16.05" customHeight="1" x14ac:dyDescent="0.3">
      <c r="A88" s="3">
        <v>82</v>
      </c>
      <c r="B88" s="4" t="s">
        <v>158</v>
      </c>
      <c r="C88" s="4" t="s">
        <v>44</v>
      </c>
      <c r="D88" s="5" t="s">
        <v>18</v>
      </c>
      <c r="E88" s="6">
        <v>13.98</v>
      </c>
      <c r="F88" s="7">
        <v>7813.34</v>
      </c>
      <c r="G88" s="6">
        <v>19.414000000000001</v>
      </c>
      <c r="H88" s="7">
        <v>1979.8397200000002</v>
      </c>
      <c r="I88" s="7">
        <v>270.85000000000002</v>
      </c>
      <c r="J88" s="7">
        <v>194.18220000000002</v>
      </c>
      <c r="K88" s="8">
        <f>Table1[[#This Row],[Cert Expense]]+Table1[[#This Row],[Labour Amt]]+Table1[[#This Row],[Gold Amt]]+Table1[[#This Row],[Diamond Cost]]</f>
        <v>10258.21192</v>
      </c>
    </row>
    <row r="89" spans="1:13" ht="16.05" customHeight="1" x14ac:dyDescent="0.3">
      <c r="A89" s="3">
        <v>83</v>
      </c>
      <c r="B89" s="4" t="s">
        <v>159</v>
      </c>
      <c r="C89" s="4" t="s">
        <v>44</v>
      </c>
      <c r="D89" s="5" t="s">
        <v>18</v>
      </c>
      <c r="E89" s="6">
        <v>14.11</v>
      </c>
      <c r="F89" s="7">
        <v>8103.81</v>
      </c>
      <c r="G89" s="6">
        <v>20.058</v>
      </c>
      <c r="H89" s="7">
        <v>2045.51484</v>
      </c>
      <c r="I89" s="7">
        <v>277.32400000000001</v>
      </c>
      <c r="J89" s="7">
        <v>195.9879</v>
      </c>
      <c r="K89" s="8">
        <f>Table1[[#This Row],[Cert Expense]]+Table1[[#This Row],[Labour Amt]]+Table1[[#This Row],[Gold Amt]]+Table1[[#This Row],[Diamond Cost]]</f>
        <v>10622.63674</v>
      </c>
    </row>
    <row r="90" spans="1:13" ht="16.05" customHeight="1" x14ac:dyDescent="0.3">
      <c r="A90" s="3">
        <v>84</v>
      </c>
      <c r="B90" s="4" t="s">
        <v>160</v>
      </c>
      <c r="C90" s="4" t="s">
        <v>14</v>
      </c>
      <c r="D90" s="5" t="s">
        <v>33</v>
      </c>
      <c r="E90" s="6">
        <v>11.23</v>
      </c>
      <c r="F90" s="7">
        <v>6176.5</v>
      </c>
      <c r="G90" s="6">
        <v>8.9640000000000004</v>
      </c>
      <c r="H90" s="7">
        <v>999.21708000000001</v>
      </c>
      <c r="I90" s="7">
        <v>112.952</v>
      </c>
      <c r="J90" s="7">
        <v>160.92590000000001</v>
      </c>
      <c r="K90" s="8">
        <f>Table1[[#This Row],[Cert Expense]]+Table1[[#This Row],[Labour Amt]]+Table1[[#This Row],[Gold Amt]]+Table1[[#This Row],[Diamond Cost]]</f>
        <v>7449.5949799999999</v>
      </c>
    </row>
    <row r="91" spans="1:13" ht="16.05" customHeight="1" x14ac:dyDescent="0.3">
      <c r="A91" s="3">
        <v>85</v>
      </c>
      <c r="B91" s="4" t="s">
        <v>161</v>
      </c>
      <c r="C91" s="4" t="s">
        <v>14</v>
      </c>
      <c r="D91" s="5" t="s">
        <v>31</v>
      </c>
      <c r="E91" s="6">
        <v>11.79</v>
      </c>
      <c r="F91" s="7">
        <v>6484.4999999999991</v>
      </c>
      <c r="G91" s="6">
        <v>10.382</v>
      </c>
      <c r="H91" s="7">
        <v>1157.2815399999999</v>
      </c>
      <c r="I91" s="7">
        <v>123.622</v>
      </c>
      <c r="J91" s="7">
        <v>168.95069999999998</v>
      </c>
      <c r="K91" s="8">
        <f>Table1[[#This Row],[Cert Expense]]+Table1[[#This Row],[Labour Amt]]+Table1[[#This Row],[Gold Amt]]+Table1[[#This Row],[Diamond Cost]]</f>
        <v>7934.3542399999988</v>
      </c>
    </row>
    <row r="92" spans="1:13" ht="16.05" customHeight="1" x14ac:dyDescent="0.3">
      <c r="A92" s="3">
        <v>86</v>
      </c>
      <c r="B92" s="4" t="s">
        <v>162</v>
      </c>
      <c r="C92" s="4" t="s">
        <v>14</v>
      </c>
      <c r="D92" s="5" t="s">
        <v>31</v>
      </c>
      <c r="E92" s="6">
        <v>12.14</v>
      </c>
      <c r="F92" s="7">
        <v>6677</v>
      </c>
      <c r="G92" s="6">
        <v>9.6620000000000008</v>
      </c>
      <c r="H92" s="7">
        <v>1077.02314</v>
      </c>
      <c r="I92" s="7">
        <v>117.86200000000001</v>
      </c>
      <c r="J92" s="7">
        <v>173.96620000000001</v>
      </c>
      <c r="K92" s="8">
        <f>Table1[[#This Row],[Cert Expense]]+Table1[[#This Row],[Labour Amt]]+Table1[[#This Row],[Gold Amt]]+Table1[[#This Row],[Diamond Cost]]</f>
        <v>8045.8513400000002</v>
      </c>
      <c r="M92" s="2"/>
    </row>
    <row r="93" spans="1:13" ht="16.05" customHeight="1" x14ac:dyDescent="0.3">
      <c r="A93" s="3">
        <v>87</v>
      </c>
      <c r="B93" s="4" t="s">
        <v>180</v>
      </c>
      <c r="C93" s="4" t="s">
        <v>14</v>
      </c>
      <c r="D93" s="5" t="s">
        <v>163</v>
      </c>
      <c r="E93" s="6">
        <v>7.95</v>
      </c>
      <c r="F93" s="7">
        <v>3776.25</v>
      </c>
      <c r="G93" s="6">
        <v>8.89</v>
      </c>
      <c r="H93" s="7">
        <v>990.9683</v>
      </c>
      <c r="I93" s="7">
        <v>116.45</v>
      </c>
      <c r="J93" s="7">
        <v>0</v>
      </c>
      <c r="K93" s="8">
        <f>Table1[[#This Row],[Cert Expense]]+Table1[[#This Row],[Labour Amt]]+Table1[[#This Row],[Gold Amt]]+Table1[[#This Row],[Diamond Cost]]</f>
        <v>4883.6683000000003</v>
      </c>
    </row>
    <row r="94" spans="1:13" ht="16.05" customHeight="1" x14ac:dyDescent="0.3">
      <c r="A94" s="3">
        <v>88</v>
      </c>
      <c r="B94" s="4" t="s">
        <v>164</v>
      </c>
      <c r="C94" s="4" t="s">
        <v>14</v>
      </c>
      <c r="D94" s="5" t="s">
        <v>40</v>
      </c>
      <c r="E94" s="6">
        <v>8.0399999999999991</v>
      </c>
      <c r="F94" s="7">
        <v>4019.9999999999995</v>
      </c>
      <c r="G94" s="6">
        <v>9.0419999999999998</v>
      </c>
      <c r="H94" s="7">
        <v>1007.91174</v>
      </c>
      <c r="I94" s="7">
        <v>116.98599999999999</v>
      </c>
      <c r="J94" s="7">
        <v>115.21319999999999</v>
      </c>
      <c r="K94" s="8">
        <f>Table1[[#This Row],[Cert Expense]]+Table1[[#This Row],[Labour Amt]]+Table1[[#This Row],[Gold Amt]]+Table1[[#This Row],[Diamond Cost]]</f>
        <v>5260.1109399999996</v>
      </c>
    </row>
    <row r="95" spans="1:13" ht="16.05" customHeight="1" x14ac:dyDescent="0.3">
      <c r="A95" s="3">
        <v>89</v>
      </c>
      <c r="B95" s="4" t="s">
        <v>165</v>
      </c>
      <c r="C95" s="4" t="s">
        <v>14</v>
      </c>
      <c r="D95" s="5" t="s">
        <v>40</v>
      </c>
      <c r="E95" s="9">
        <v>8.3000000000000007</v>
      </c>
      <c r="F95" s="7">
        <v>3942.5000000000005</v>
      </c>
      <c r="G95" s="6">
        <v>8.82</v>
      </c>
      <c r="H95" s="7">
        <v>983.16539999999998</v>
      </c>
      <c r="I95" s="7">
        <v>116.57</v>
      </c>
      <c r="J95" s="7">
        <v>118.93900000000001</v>
      </c>
      <c r="K95" s="8">
        <f>Table1[[#This Row],[Cert Expense]]+Table1[[#This Row],[Labour Amt]]+Table1[[#This Row],[Gold Amt]]+Table1[[#This Row],[Diamond Cost]]</f>
        <v>5161.1743999999999</v>
      </c>
    </row>
    <row r="96" spans="1:13" ht="16.05" customHeight="1" x14ac:dyDescent="0.3">
      <c r="A96" s="3">
        <v>90</v>
      </c>
      <c r="B96" s="4" t="s">
        <v>166</v>
      </c>
      <c r="C96" s="4" t="s">
        <v>14</v>
      </c>
      <c r="D96" s="5" t="s">
        <v>33</v>
      </c>
      <c r="E96" s="9">
        <v>9.6999999999999993</v>
      </c>
      <c r="F96" s="7">
        <v>5335</v>
      </c>
      <c r="G96" s="6">
        <v>9.3699999999999992</v>
      </c>
      <c r="H96" s="7">
        <v>1044.4739</v>
      </c>
      <c r="I96" s="7">
        <v>117.57</v>
      </c>
      <c r="J96" s="7">
        <v>139.00099999999998</v>
      </c>
      <c r="K96" s="8">
        <f>Table1[[#This Row],[Cert Expense]]+Table1[[#This Row],[Labour Amt]]+Table1[[#This Row],[Gold Amt]]+Table1[[#This Row],[Diamond Cost]]</f>
        <v>6636.0448999999999</v>
      </c>
    </row>
    <row r="97" spans="1:13" ht="16.05" customHeight="1" x14ac:dyDescent="0.3">
      <c r="A97" s="3">
        <v>91</v>
      </c>
      <c r="B97" s="4" t="s">
        <v>167</v>
      </c>
      <c r="C97" s="4" t="s">
        <v>14</v>
      </c>
      <c r="D97" s="5" t="s">
        <v>163</v>
      </c>
      <c r="E97" s="6">
        <v>8.27</v>
      </c>
      <c r="F97" s="7">
        <v>3928.25</v>
      </c>
      <c r="G97" s="6">
        <v>9.8360000000000003</v>
      </c>
      <c r="H97" s="7">
        <v>1096.4189200000001</v>
      </c>
      <c r="I97" s="7">
        <v>124.69800000000001</v>
      </c>
      <c r="J97" s="7">
        <v>118.50909999999999</v>
      </c>
      <c r="K97" s="8">
        <f>Table1[[#This Row],[Cert Expense]]+Table1[[#This Row],[Labour Amt]]+Table1[[#This Row],[Gold Amt]]+Table1[[#This Row],[Diamond Cost]]</f>
        <v>5267.8760199999997</v>
      </c>
    </row>
    <row r="98" spans="1:13" ht="16.05" customHeight="1" x14ac:dyDescent="0.3">
      <c r="A98" s="3">
        <v>92</v>
      </c>
      <c r="B98" s="4" t="s">
        <v>168</v>
      </c>
      <c r="C98" s="4" t="s">
        <v>14</v>
      </c>
      <c r="D98" s="5" t="s">
        <v>31</v>
      </c>
      <c r="E98" s="6">
        <v>12.07</v>
      </c>
      <c r="F98" s="7">
        <v>6638.5</v>
      </c>
      <c r="G98" s="6">
        <v>10.956</v>
      </c>
      <c r="H98" s="7">
        <v>1221.26532</v>
      </c>
      <c r="I98" s="7">
        <v>128.898</v>
      </c>
      <c r="J98" s="7">
        <v>172.9631</v>
      </c>
      <c r="K98" s="8">
        <f>Table1[[#This Row],[Cert Expense]]+Table1[[#This Row],[Labour Amt]]+Table1[[#This Row],[Gold Amt]]+Table1[[#This Row],[Diamond Cost]]</f>
        <v>8161.6264200000005</v>
      </c>
    </row>
    <row r="99" spans="1:13" ht="16.05" customHeight="1" x14ac:dyDescent="0.3">
      <c r="A99" s="3">
        <v>93</v>
      </c>
      <c r="B99" s="4" t="s">
        <v>169</v>
      </c>
      <c r="C99" s="4" t="s">
        <v>14</v>
      </c>
      <c r="D99" s="5" t="s">
        <v>163</v>
      </c>
      <c r="E99" s="6">
        <v>8.25</v>
      </c>
      <c r="F99" s="7">
        <v>3918.75</v>
      </c>
      <c r="G99" s="6">
        <v>9.9600000000000009</v>
      </c>
      <c r="H99" s="7">
        <v>1110.2412000000002</v>
      </c>
      <c r="I99" s="7">
        <v>125.69</v>
      </c>
      <c r="J99" s="7">
        <v>118.2225</v>
      </c>
      <c r="K99" s="8">
        <f>Table1[[#This Row],[Cert Expense]]+Table1[[#This Row],[Labour Amt]]+Table1[[#This Row],[Gold Amt]]+Table1[[#This Row],[Diamond Cost]]</f>
        <v>5272.9036999999998</v>
      </c>
    </row>
    <row r="100" spans="1:13" ht="16.05" customHeight="1" x14ac:dyDescent="0.3">
      <c r="A100" s="3">
        <v>94</v>
      </c>
      <c r="B100" s="4" t="s">
        <v>170</v>
      </c>
      <c r="C100" s="4" t="s">
        <v>14</v>
      </c>
      <c r="D100" s="5" t="s">
        <v>40</v>
      </c>
      <c r="E100" s="6">
        <v>8.48</v>
      </c>
      <c r="F100" s="7">
        <v>4240</v>
      </c>
      <c r="G100" s="6">
        <v>9.7040000000000006</v>
      </c>
      <c r="H100" s="7">
        <v>1081.70488</v>
      </c>
      <c r="I100" s="7">
        <v>122.962</v>
      </c>
      <c r="J100" s="7">
        <v>121.5184</v>
      </c>
      <c r="K100" s="8">
        <f>Table1[[#This Row],[Cert Expense]]+Table1[[#This Row],[Labour Amt]]+Table1[[#This Row],[Gold Amt]]+Table1[[#This Row],[Diamond Cost]]</f>
        <v>5566.1852799999997</v>
      </c>
    </row>
    <row r="101" spans="1:13" ht="16.05" customHeight="1" x14ac:dyDescent="0.3">
      <c r="A101" s="3">
        <v>95</v>
      </c>
      <c r="B101" s="4" t="s">
        <v>180</v>
      </c>
      <c r="C101" s="4" t="s">
        <v>14</v>
      </c>
      <c r="D101" s="5" t="s">
        <v>33</v>
      </c>
      <c r="E101" s="6">
        <v>11.33</v>
      </c>
      <c r="F101" s="7">
        <v>6231.5</v>
      </c>
      <c r="G101" s="6">
        <v>12.013999999999999</v>
      </c>
      <c r="H101" s="7">
        <v>1339.2005799999999</v>
      </c>
      <c r="I101" s="7">
        <v>138.041</v>
      </c>
      <c r="J101" s="7">
        <v>0</v>
      </c>
      <c r="K101" s="8">
        <f>Table1[[#This Row],[Cert Expense]]+Table1[[#This Row],[Labour Amt]]+Table1[[#This Row],[Gold Amt]]+Table1[[#This Row],[Diamond Cost]]</f>
        <v>7708.7415799999999</v>
      </c>
    </row>
    <row r="102" spans="1:13" ht="16.05" customHeight="1" x14ac:dyDescent="0.3">
      <c r="A102" s="3">
        <v>96</v>
      </c>
      <c r="B102" s="4" t="s">
        <v>180</v>
      </c>
      <c r="C102" s="4" t="s">
        <v>14</v>
      </c>
      <c r="D102" s="5" t="s">
        <v>40</v>
      </c>
      <c r="E102" s="6">
        <v>8.48</v>
      </c>
      <c r="F102" s="7">
        <v>4155.2</v>
      </c>
      <c r="G102" s="6">
        <v>8.0440000000000005</v>
      </c>
      <c r="H102" s="7">
        <v>896.66468000000009</v>
      </c>
      <c r="I102" s="7">
        <v>110.36199999999999</v>
      </c>
      <c r="J102" s="7">
        <v>0</v>
      </c>
      <c r="K102" s="8">
        <f>Table1[[#This Row],[Cert Expense]]+Table1[[#This Row],[Labour Amt]]+Table1[[#This Row],[Gold Amt]]+Table1[[#This Row],[Diamond Cost]]</f>
        <v>5162.2266799999998</v>
      </c>
    </row>
    <row r="103" spans="1:13" ht="16.05" customHeight="1" x14ac:dyDescent="0.3">
      <c r="A103" s="3">
        <v>97</v>
      </c>
      <c r="B103" s="4" t="s">
        <v>180</v>
      </c>
      <c r="C103" s="4" t="s">
        <v>14</v>
      </c>
      <c r="D103" s="5" t="s">
        <v>40</v>
      </c>
      <c r="E103" s="6">
        <v>8.92</v>
      </c>
      <c r="F103" s="7">
        <v>4460</v>
      </c>
      <c r="G103" s="6">
        <v>8.3360000000000003</v>
      </c>
      <c r="H103" s="7">
        <v>929.21392000000003</v>
      </c>
      <c r="I103" s="7">
        <v>113.378</v>
      </c>
      <c r="J103" s="7">
        <v>0</v>
      </c>
      <c r="K103" s="8">
        <f>Table1[[#This Row],[Cert Expense]]+Table1[[#This Row],[Labour Amt]]+Table1[[#This Row],[Gold Amt]]+Table1[[#This Row],[Diamond Cost]]</f>
        <v>5502.5919199999998</v>
      </c>
    </row>
    <row r="104" spans="1:13" ht="16.05" customHeight="1" x14ac:dyDescent="0.3">
      <c r="A104" s="3">
        <v>98</v>
      </c>
      <c r="B104" s="4" t="s">
        <v>180</v>
      </c>
      <c r="C104" s="4" t="s">
        <v>14</v>
      </c>
      <c r="D104" s="5" t="s">
        <v>171</v>
      </c>
      <c r="E104" s="6">
        <v>6.19</v>
      </c>
      <c r="F104" s="7">
        <v>2785.5</v>
      </c>
      <c r="G104" s="6">
        <v>7.6719999999999997</v>
      </c>
      <c r="H104" s="7">
        <v>855.19783999999993</v>
      </c>
      <c r="I104" s="7">
        <v>110.798</v>
      </c>
      <c r="J104" s="7">
        <v>0</v>
      </c>
      <c r="K104" s="8">
        <f>Table1[[#This Row],[Cert Expense]]+Table1[[#This Row],[Labour Amt]]+Table1[[#This Row],[Gold Amt]]+Table1[[#This Row],[Diamond Cost]]</f>
        <v>3751.49584</v>
      </c>
    </row>
    <row r="105" spans="1:13" ht="16.05" customHeight="1" x14ac:dyDescent="0.3">
      <c r="A105" s="3">
        <v>99</v>
      </c>
      <c r="B105" s="4" t="s">
        <v>180</v>
      </c>
      <c r="C105" s="4" t="s">
        <v>14</v>
      </c>
      <c r="D105" s="5" t="s">
        <v>171</v>
      </c>
      <c r="E105" s="6">
        <v>6.38</v>
      </c>
      <c r="F105" s="7">
        <v>2871</v>
      </c>
      <c r="G105" s="6">
        <v>7.7039999999999997</v>
      </c>
      <c r="H105" s="7">
        <v>858.76487999999995</v>
      </c>
      <c r="I105" s="7">
        <v>111.054</v>
      </c>
      <c r="J105" s="7">
        <v>0</v>
      </c>
      <c r="K105" s="8">
        <f>Table1[[#This Row],[Cert Expense]]+Table1[[#This Row],[Labour Amt]]+Table1[[#This Row],[Gold Amt]]+Table1[[#This Row],[Diamond Cost]]</f>
        <v>3840.8188799999998</v>
      </c>
    </row>
    <row r="106" spans="1:13" ht="16.05" customHeight="1" x14ac:dyDescent="0.3">
      <c r="A106" s="3">
        <v>100</v>
      </c>
      <c r="B106" s="4" t="s">
        <v>180</v>
      </c>
      <c r="C106" s="4" t="s">
        <v>14</v>
      </c>
      <c r="D106" s="5" t="s">
        <v>163</v>
      </c>
      <c r="E106" s="6">
        <v>8.2899999999999991</v>
      </c>
      <c r="F106" s="7">
        <v>3937.7499999999995</v>
      </c>
      <c r="G106" s="6">
        <v>7.8819999999999997</v>
      </c>
      <c r="H106" s="7">
        <v>878.60654</v>
      </c>
      <c r="I106" s="7">
        <v>109.056</v>
      </c>
      <c r="J106" s="7">
        <v>0</v>
      </c>
      <c r="K106" s="8">
        <f>Table1[[#This Row],[Cert Expense]]+Table1[[#This Row],[Labour Amt]]+Table1[[#This Row],[Gold Amt]]+Table1[[#This Row],[Diamond Cost]]</f>
        <v>4925.4125399999994</v>
      </c>
    </row>
    <row r="107" spans="1:13" ht="16.05" customHeight="1" x14ac:dyDescent="0.3">
      <c r="A107" s="3">
        <v>101</v>
      </c>
      <c r="B107" s="4" t="s">
        <v>173</v>
      </c>
      <c r="C107" s="4" t="s">
        <v>172</v>
      </c>
      <c r="D107" s="5" t="s">
        <v>18</v>
      </c>
      <c r="E107" s="6">
        <v>11.82</v>
      </c>
      <c r="F107" s="7">
        <v>7746</v>
      </c>
      <c r="G107" s="6">
        <v>15.875999999999999</v>
      </c>
      <c r="H107" s="7">
        <v>1312.1514</v>
      </c>
      <c r="I107" s="147">
        <v>257.512</v>
      </c>
      <c r="J107" s="7">
        <v>169.38060000000002</v>
      </c>
      <c r="K107" s="8">
        <f>Table1[[#This Row],[Cert Expense]]+Table1[[#This Row],[Labour Amt]]+Table1[[#This Row],[Gold Amt]]+Table1[[#This Row],[Diamond Cost]]</f>
        <v>9485.0439999999999</v>
      </c>
      <c r="M107" s="149" t="s">
        <v>369</v>
      </c>
    </row>
    <row r="108" spans="1:13" ht="16.05" customHeight="1" x14ac:dyDescent="0.3">
      <c r="A108" s="3">
        <v>102</v>
      </c>
      <c r="B108" s="4" t="s">
        <v>175</v>
      </c>
      <c r="C108" s="4" t="s">
        <v>174</v>
      </c>
      <c r="D108" s="5" t="s">
        <v>18</v>
      </c>
      <c r="E108" s="9">
        <v>15.6</v>
      </c>
      <c r="F108" s="7">
        <v>9620.25</v>
      </c>
      <c r="G108" s="6">
        <v>19.920000000000002</v>
      </c>
      <c r="H108" s="7">
        <v>1646.3880000000001</v>
      </c>
      <c r="I108" s="147">
        <v>314.26</v>
      </c>
      <c r="J108" s="7">
        <v>223.548</v>
      </c>
      <c r="K108" s="8">
        <f>Table1[[#This Row],[Cert Expense]]+Table1[[#This Row],[Labour Amt]]+Table1[[#This Row],[Gold Amt]]+Table1[[#This Row],[Diamond Cost]]</f>
        <v>11804.446</v>
      </c>
      <c r="M108" s="149" t="s">
        <v>369</v>
      </c>
    </row>
    <row r="109" spans="1:13" ht="16.05" customHeight="1" x14ac:dyDescent="0.3">
      <c r="A109" s="3">
        <v>103</v>
      </c>
      <c r="B109" s="4" t="s">
        <v>177</v>
      </c>
      <c r="C109" s="4" t="s">
        <v>176</v>
      </c>
      <c r="D109" s="5" t="s">
        <v>18</v>
      </c>
      <c r="E109" s="6">
        <v>16.14</v>
      </c>
      <c r="F109" s="7">
        <v>10727</v>
      </c>
      <c r="G109" s="6">
        <v>20.722000000000001</v>
      </c>
      <c r="H109" s="7">
        <v>1712.6733000000002</v>
      </c>
      <c r="I109" s="147">
        <v>306.85400000000004</v>
      </c>
      <c r="J109" s="7">
        <v>231.28620000000001</v>
      </c>
      <c r="K109" s="8">
        <f>Table1[[#This Row],[Cert Expense]]+Table1[[#This Row],[Labour Amt]]+Table1[[#This Row],[Gold Amt]]+Table1[[#This Row],[Diamond Cost]]</f>
        <v>12977.8135</v>
      </c>
      <c r="M109" s="149" t="s">
        <v>369</v>
      </c>
    </row>
    <row r="110" spans="1:13" ht="16.05" customHeight="1" x14ac:dyDescent="0.3">
      <c r="A110" s="3">
        <v>104</v>
      </c>
      <c r="B110" s="4" t="s">
        <v>180</v>
      </c>
      <c r="C110" s="4" t="s">
        <v>178</v>
      </c>
      <c r="D110" s="5" t="s">
        <v>18</v>
      </c>
      <c r="E110" s="6">
        <v>22.28</v>
      </c>
      <c r="F110" s="7">
        <v>14565.25</v>
      </c>
      <c r="G110" s="6">
        <v>20.994</v>
      </c>
      <c r="H110" s="7">
        <v>1735.1541000000002</v>
      </c>
      <c r="I110" s="147">
        <v>323.05799999999999</v>
      </c>
      <c r="J110" s="7">
        <v>0</v>
      </c>
      <c r="K110" s="8">
        <f>Table1[[#This Row],[Cert Expense]]+Table1[[#This Row],[Labour Amt]]+Table1[[#This Row],[Gold Amt]]+Table1[[#This Row],[Diamond Cost]]</f>
        <v>16623.462100000001</v>
      </c>
      <c r="M110" s="149" t="s">
        <v>369</v>
      </c>
    </row>
    <row r="111" spans="1:13" ht="16.05" customHeight="1" x14ac:dyDescent="0.3">
      <c r="A111" s="3">
        <v>105</v>
      </c>
      <c r="B111" s="4" t="s">
        <v>180</v>
      </c>
      <c r="C111" s="4" t="s">
        <v>179</v>
      </c>
      <c r="D111" s="5" t="s">
        <v>18</v>
      </c>
      <c r="E111" s="6">
        <v>13.34</v>
      </c>
      <c r="F111" s="7">
        <v>9304</v>
      </c>
      <c r="G111" s="6">
        <v>21.152000000000001</v>
      </c>
      <c r="H111" s="7">
        <v>1748.2128000000002</v>
      </c>
      <c r="I111" s="147">
        <v>314.05400000000003</v>
      </c>
      <c r="J111" s="7">
        <v>0</v>
      </c>
      <c r="K111" s="8">
        <f>Table1[[#This Row],[Cert Expense]]+Table1[[#This Row],[Labour Amt]]+Table1[[#This Row],[Gold Amt]]+Table1[[#This Row],[Diamond Cost]]</f>
        <v>11366.266800000001</v>
      </c>
      <c r="M111" s="149" t="s">
        <v>369</v>
      </c>
    </row>
    <row r="112" spans="1:13" ht="16.05" customHeight="1" x14ac:dyDescent="0.3">
      <c r="A112" s="19">
        <v>106</v>
      </c>
      <c r="B112" s="20" t="s">
        <v>180</v>
      </c>
      <c r="C112" s="20" t="s">
        <v>178</v>
      </c>
      <c r="D112" s="21" t="s">
        <v>18</v>
      </c>
      <c r="E112" s="22">
        <v>14.11</v>
      </c>
      <c r="F112" s="23">
        <v>7552.75</v>
      </c>
      <c r="G112" s="22">
        <v>21.02</v>
      </c>
      <c r="H112" s="23">
        <v>1737.3030000000001</v>
      </c>
      <c r="I112" s="148">
        <v>349.26</v>
      </c>
      <c r="J112" s="23">
        <v>0</v>
      </c>
      <c r="K112" s="24">
        <f>Table1[[#This Row],[Cert Expense]]+Table1[[#This Row],[Labour Amt]]+Table1[[#This Row],[Gold Amt]]+Table1[[#This Row],[Diamond Cost]]</f>
        <v>9639.3130000000001</v>
      </c>
      <c r="M112" s="149" t="s">
        <v>369</v>
      </c>
    </row>
    <row r="113" spans="1:11" ht="16.05" customHeight="1" x14ac:dyDescent="0.3">
      <c r="A113" s="25">
        <f>SUBTOTAL(103,Table1[Sr])</f>
        <v>106</v>
      </c>
      <c r="B113" s="26"/>
      <c r="C113" s="27"/>
      <c r="D113" s="26"/>
      <c r="E113" s="100">
        <f>SUBTOTAL(109,Table1[Diam Carats])</f>
        <v>1109.7299999999998</v>
      </c>
      <c r="F113" s="28">
        <f>SUBTOTAL(109,Table1[Diamond Cost])</f>
        <v>668396.27</v>
      </c>
      <c r="G113" s="30">
        <f>SUBTOTAL(109,Table1[Gold Gms])</f>
        <v>1379.2579999999998</v>
      </c>
      <c r="H113" s="28">
        <f>SUBTOTAL(109,Table1[Gold Amt])</f>
        <v>107423.75652000002</v>
      </c>
      <c r="I113" s="28">
        <f>SUBTOTAL(109,Table1[Labour Amt])</f>
        <v>19171.098011444141</v>
      </c>
      <c r="J113" s="28">
        <f>SUBTOTAL(109,Table1[Cert Expense])</f>
        <v>12302.846100000001</v>
      </c>
      <c r="K113" s="29">
        <f>SUBTOTAL(109,Table1[Total Cost])</f>
        <v>807293.97063144436</v>
      </c>
    </row>
    <row r="114" spans="1:11" ht="16.05" customHeight="1" x14ac:dyDescent="0.3">
      <c r="F114" s="1">
        <v>1</v>
      </c>
      <c r="H114" s="1">
        <v>2</v>
      </c>
      <c r="I114" s="1">
        <v>3</v>
      </c>
      <c r="J114" s="1">
        <v>4</v>
      </c>
      <c r="K114" s="1" t="s">
        <v>8</v>
      </c>
    </row>
    <row r="115" spans="1:11" ht="16.05" customHeight="1" thickBot="1" x14ac:dyDescent="0.35">
      <c r="E115" s="31" t="s">
        <v>181</v>
      </c>
      <c r="F115" s="31" t="s">
        <v>60</v>
      </c>
      <c r="G115" s="31" t="s">
        <v>185</v>
      </c>
      <c r="H115" s="31" t="s">
        <v>4</v>
      </c>
      <c r="I115" s="31" t="s">
        <v>5</v>
      </c>
      <c r="J115" s="31" t="s">
        <v>61</v>
      </c>
      <c r="K115" s="31" t="s">
        <v>7</v>
      </c>
    </row>
    <row r="116" spans="1:11" ht="16.05" customHeight="1" thickTop="1" x14ac:dyDescent="0.3"/>
    <row r="117" spans="1:11" ht="16.05" customHeight="1" x14ac:dyDescent="0.3">
      <c r="E117" s="95">
        <f>Table1[[#Totals],[Diamond Cost]]/Table1[[#Totals],[Diam Carats]]</f>
        <v>602.30530849846377</v>
      </c>
    </row>
    <row r="118" spans="1:11" ht="16.05" customHeight="1" x14ac:dyDescent="0.3">
      <c r="E118" s="1" t="s">
        <v>442</v>
      </c>
    </row>
  </sheetData>
  <mergeCells count="1">
    <mergeCell ref="A1:K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5ECAE-A7AC-4E85-A990-266474CF8F47}">
  <dimension ref="A1:V83"/>
  <sheetViews>
    <sheetView zoomScaleNormal="100" workbookViewId="0">
      <pane ySplit="2" topLeftCell="A72" activePane="bottomLeft" state="frozen"/>
      <selection pane="bottomLeft" activeCell="M87" sqref="M87"/>
    </sheetView>
  </sheetViews>
  <sheetFormatPr defaultRowHeight="15" customHeight="1" x14ac:dyDescent="0.3"/>
  <cols>
    <col min="1" max="1" width="5.109375" style="1" customWidth="1"/>
    <col min="2" max="2" width="13.21875" style="1" bestFit="1" customWidth="1"/>
    <col min="3" max="3" width="16.21875" style="1" bestFit="1" customWidth="1"/>
    <col min="4" max="4" width="8.88671875" style="1"/>
    <col min="5" max="5" width="6.21875" style="1" customWidth="1"/>
    <col min="6" max="6" width="7.44140625" style="1" customWidth="1"/>
    <col min="7" max="7" width="7.33203125" style="1" customWidth="1"/>
    <col min="8" max="8" width="5.6640625" style="1" customWidth="1"/>
    <col min="9" max="9" width="6.33203125" style="1" customWidth="1"/>
    <col min="10" max="10" width="5.21875" style="1" customWidth="1"/>
    <col min="11" max="11" width="6.5546875" style="1" customWidth="1"/>
    <col min="12" max="12" width="7.109375" style="1" customWidth="1"/>
    <col min="13" max="13" width="6.109375" style="1" customWidth="1"/>
    <col min="14" max="14" width="7" style="1" customWidth="1"/>
    <col min="15" max="15" width="7.44140625" style="1" customWidth="1"/>
    <col min="16" max="16" width="7.21875" style="1" customWidth="1"/>
    <col min="17" max="19" width="8.88671875" style="1"/>
    <col min="20" max="20" width="9" style="1" hidden="1" customWidth="1"/>
    <col min="21" max="21" width="13.109375" style="1" customWidth="1"/>
    <col min="22" max="22" width="13.21875" style="1" bestFit="1" customWidth="1"/>
    <col min="23" max="16384" width="8.88671875" style="1"/>
  </cols>
  <sheetData>
    <row r="1" spans="1:22" ht="15" customHeight="1" x14ac:dyDescent="0.3">
      <c r="A1" s="205" t="s">
        <v>314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</row>
    <row r="2" spans="1:22" ht="15" customHeight="1" x14ac:dyDescent="0.3">
      <c r="A2" s="68" t="s">
        <v>186</v>
      </c>
      <c r="B2" s="60" t="s">
        <v>187</v>
      </c>
      <c r="C2" s="60" t="s">
        <v>11</v>
      </c>
      <c r="D2" s="60" t="s">
        <v>188</v>
      </c>
      <c r="E2" s="60" t="s">
        <v>189</v>
      </c>
      <c r="F2" s="69" t="s">
        <v>15</v>
      </c>
      <c r="G2" s="60" t="s">
        <v>190</v>
      </c>
      <c r="H2" s="60" t="s">
        <v>191</v>
      </c>
      <c r="I2" s="60" t="s">
        <v>192</v>
      </c>
      <c r="J2" s="60" t="s">
        <v>193</v>
      </c>
      <c r="K2" s="60" t="s">
        <v>194</v>
      </c>
      <c r="L2" s="60" t="s">
        <v>195</v>
      </c>
      <c r="M2" s="60" t="s">
        <v>196</v>
      </c>
      <c r="N2" s="60" t="s">
        <v>197</v>
      </c>
      <c r="O2" s="60" t="s">
        <v>198</v>
      </c>
      <c r="P2" s="60" t="s">
        <v>199</v>
      </c>
      <c r="Q2" s="60" t="s">
        <v>200</v>
      </c>
      <c r="R2" s="60" t="s">
        <v>201</v>
      </c>
      <c r="S2" s="60" t="s">
        <v>202</v>
      </c>
      <c r="T2" s="60" t="s">
        <v>203</v>
      </c>
      <c r="U2" s="61" t="s">
        <v>204</v>
      </c>
      <c r="V2" s="109" t="s">
        <v>380</v>
      </c>
    </row>
    <row r="3" spans="1:22" ht="15" customHeight="1" x14ac:dyDescent="0.3">
      <c r="A3" s="50">
        <v>1</v>
      </c>
      <c r="B3" s="51" t="s">
        <v>205</v>
      </c>
      <c r="C3" s="51" t="s">
        <v>206</v>
      </c>
      <c r="D3" s="52" t="s">
        <v>207</v>
      </c>
      <c r="E3" s="53" t="s">
        <v>208</v>
      </c>
      <c r="F3" s="54" t="s">
        <v>209</v>
      </c>
      <c r="G3" s="55">
        <v>4.01</v>
      </c>
      <c r="H3" s="51" t="s">
        <v>210</v>
      </c>
      <c r="I3" s="51" t="s">
        <v>211</v>
      </c>
      <c r="J3" s="51" t="s">
        <v>212</v>
      </c>
      <c r="K3" s="51" t="s">
        <v>213</v>
      </c>
      <c r="L3" s="51" t="s">
        <v>212</v>
      </c>
      <c r="M3" s="51" t="s">
        <v>214</v>
      </c>
      <c r="N3" s="55">
        <v>9.9</v>
      </c>
      <c r="O3" s="51">
        <v>9.9499999999999993</v>
      </c>
      <c r="P3" s="51">
        <v>6.39</v>
      </c>
      <c r="Q3" s="56">
        <v>57</v>
      </c>
      <c r="R3" s="56">
        <v>64.400000000000006</v>
      </c>
      <c r="S3" s="57"/>
      <c r="T3" s="58">
        <v>0.65880000000000005</v>
      </c>
      <c r="U3" s="59">
        <v>45000</v>
      </c>
    </row>
    <row r="4" spans="1:22" ht="15" customHeight="1" x14ac:dyDescent="0.3">
      <c r="A4" s="62"/>
      <c r="B4" s="64"/>
      <c r="C4" s="64"/>
      <c r="D4" s="64"/>
      <c r="E4" s="65"/>
      <c r="F4" s="66"/>
      <c r="G4" s="67"/>
      <c r="H4" s="64"/>
      <c r="I4" s="64"/>
      <c r="J4" s="64"/>
      <c r="K4" s="64"/>
      <c r="L4" s="64"/>
      <c r="M4" s="64"/>
      <c r="N4" s="67"/>
      <c r="O4" s="64"/>
      <c r="P4" s="64"/>
      <c r="Q4" s="67"/>
      <c r="R4" s="67"/>
      <c r="S4" s="42"/>
      <c r="T4" s="43"/>
      <c r="U4" s="40"/>
    </row>
    <row r="5" spans="1:22" ht="15" customHeight="1" x14ac:dyDescent="0.3">
      <c r="A5" s="33">
        <v>2</v>
      </c>
      <c r="B5" s="41" t="s">
        <v>215</v>
      </c>
      <c r="C5" s="35" t="s">
        <v>216</v>
      </c>
      <c r="D5" s="35" t="s">
        <v>207</v>
      </c>
      <c r="E5" s="36" t="s">
        <v>217</v>
      </c>
      <c r="F5" s="35">
        <v>90</v>
      </c>
      <c r="G5" s="39">
        <v>0.9</v>
      </c>
      <c r="H5" s="35" t="s">
        <v>218</v>
      </c>
      <c r="I5" s="35" t="s">
        <v>219</v>
      </c>
      <c r="J5" s="35" t="s">
        <v>212</v>
      </c>
      <c r="K5" s="35" t="s">
        <v>213</v>
      </c>
      <c r="L5" s="35" t="s">
        <v>212</v>
      </c>
      <c r="M5" s="35" t="s">
        <v>220</v>
      </c>
      <c r="N5" s="34">
        <v>5.96</v>
      </c>
      <c r="O5" s="34">
        <v>6.03</v>
      </c>
      <c r="P5" s="34">
        <v>3.86</v>
      </c>
      <c r="Q5" s="39" t="s">
        <v>221</v>
      </c>
      <c r="R5" s="39" t="s">
        <v>222</v>
      </c>
      <c r="S5" s="42">
        <v>850</v>
      </c>
      <c r="T5" s="43"/>
      <c r="U5" s="40">
        <f>S5*G5</f>
        <v>765</v>
      </c>
      <c r="V5" s="1" t="s">
        <v>382</v>
      </c>
    </row>
    <row r="6" spans="1:22" ht="15" customHeight="1" x14ac:dyDescent="0.3">
      <c r="A6" s="33">
        <v>3</v>
      </c>
      <c r="B6" s="41" t="s">
        <v>215</v>
      </c>
      <c r="C6" s="35" t="s">
        <v>223</v>
      </c>
      <c r="D6" s="35" t="s">
        <v>207</v>
      </c>
      <c r="E6" s="36" t="s">
        <v>217</v>
      </c>
      <c r="F6" s="35">
        <v>90</v>
      </c>
      <c r="G6" s="39">
        <v>0.9</v>
      </c>
      <c r="H6" s="35" t="s">
        <v>218</v>
      </c>
      <c r="I6" s="35" t="s">
        <v>219</v>
      </c>
      <c r="J6" s="35" t="s">
        <v>212</v>
      </c>
      <c r="K6" s="35" t="s">
        <v>213</v>
      </c>
      <c r="L6" s="35" t="s">
        <v>213</v>
      </c>
      <c r="M6" s="35" t="s">
        <v>224</v>
      </c>
      <c r="N6" s="34">
        <v>6.02</v>
      </c>
      <c r="O6" s="34">
        <v>6.07</v>
      </c>
      <c r="P6" s="34">
        <v>3.86</v>
      </c>
      <c r="Q6" s="39" t="s">
        <v>225</v>
      </c>
      <c r="R6" s="39" t="s">
        <v>226</v>
      </c>
      <c r="S6" s="42">
        <v>850</v>
      </c>
      <c r="T6" s="43"/>
      <c r="U6" s="40">
        <f t="shared" ref="U6:U69" si="0">S6*G6</f>
        <v>765</v>
      </c>
      <c r="V6" s="1" t="s">
        <v>382</v>
      </c>
    </row>
    <row r="7" spans="1:22" ht="15" customHeight="1" x14ac:dyDescent="0.3">
      <c r="A7" s="33">
        <v>4</v>
      </c>
      <c r="B7" s="41" t="s">
        <v>227</v>
      </c>
      <c r="C7" s="35" t="s">
        <v>228</v>
      </c>
      <c r="D7" s="35" t="s">
        <v>207</v>
      </c>
      <c r="E7" s="36" t="s">
        <v>217</v>
      </c>
      <c r="F7" s="35">
        <v>90</v>
      </c>
      <c r="G7" s="39">
        <v>0.9</v>
      </c>
      <c r="H7" s="35" t="s">
        <v>229</v>
      </c>
      <c r="I7" s="35" t="s">
        <v>219</v>
      </c>
      <c r="J7" s="35" t="s">
        <v>212</v>
      </c>
      <c r="K7" s="35" t="s">
        <v>213</v>
      </c>
      <c r="L7" s="35" t="s">
        <v>212</v>
      </c>
      <c r="M7" s="35" t="s">
        <v>224</v>
      </c>
      <c r="N7" s="34">
        <v>5.96</v>
      </c>
      <c r="O7" s="34">
        <v>6.03</v>
      </c>
      <c r="P7" s="34">
        <v>3.88</v>
      </c>
      <c r="Q7" s="39" t="s">
        <v>230</v>
      </c>
      <c r="R7" s="39" t="s">
        <v>231</v>
      </c>
      <c r="S7" s="42">
        <v>850</v>
      </c>
      <c r="T7" s="43"/>
      <c r="U7" s="40">
        <f t="shared" si="0"/>
        <v>765</v>
      </c>
    </row>
    <row r="8" spans="1:22" ht="15" customHeight="1" x14ac:dyDescent="0.3">
      <c r="A8" s="33">
        <v>5</v>
      </c>
      <c r="B8" s="41" t="s">
        <v>227</v>
      </c>
      <c r="C8" s="35" t="s">
        <v>232</v>
      </c>
      <c r="D8" s="35" t="s">
        <v>207</v>
      </c>
      <c r="E8" s="36" t="s">
        <v>217</v>
      </c>
      <c r="F8" s="35">
        <v>90</v>
      </c>
      <c r="G8" s="39">
        <v>0.9</v>
      </c>
      <c r="H8" s="35" t="s">
        <v>229</v>
      </c>
      <c r="I8" s="35" t="s">
        <v>219</v>
      </c>
      <c r="J8" s="35" t="s">
        <v>229</v>
      </c>
      <c r="K8" s="35" t="s">
        <v>213</v>
      </c>
      <c r="L8" s="35" t="s">
        <v>212</v>
      </c>
      <c r="M8" s="35" t="s">
        <v>224</v>
      </c>
      <c r="N8" s="34">
        <v>5.86</v>
      </c>
      <c r="O8" s="34">
        <v>5.93</v>
      </c>
      <c r="P8" s="34">
        <v>3.91</v>
      </c>
      <c r="Q8" s="39" t="s">
        <v>233</v>
      </c>
      <c r="R8" s="39" t="s">
        <v>234</v>
      </c>
      <c r="S8" s="42">
        <v>850</v>
      </c>
      <c r="T8" s="43"/>
      <c r="U8" s="40">
        <f t="shared" si="0"/>
        <v>765</v>
      </c>
    </row>
    <row r="9" spans="1:22" ht="15" customHeight="1" x14ac:dyDescent="0.3">
      <c r="A9" s="33">
        <v>6</v>
      </c>
      <c r="B9" s="41" t="s">
        <v>235</v>
      </c>
      <c r="C9" s="35" t="s">
        <v>236</v>
      </c>
      <c r="D9" s="35" t="s">
        <v>207</v>
      </c>
      <c r="E9" s="36" t="s">
        <v>217</v>
      </c>
      <c r="F9" s="35">
        <v>90</v>
      </c>
      <c r="G9" s="39">
        <v>0.9</v>
      </c>
      <c r="H9" s="35" t="s">
        <v>218</v>
      </c>
      <c r="I9" s="35" t="s">
        <v>219</v>
      </c>
      <c r="J9" s="35" t="s">
        <v>212</v>
      </c>
      <c r="K9" s="35" t="s">
        <v>213</v>
      </c>
      <c r="L9" s="35" t="s">
        <v>212</v>
      </c>
      <c r="M9" s="35" t="s">
        <v>224</v>
      </c>
      <c r="N9" s="34">
        <v>6.06</v>
      </c>
      <c r="O9" s="34">
        <v>6.13</v>
      </c>
      <c r="P9" s="34">
        <v>3.88</v>
      </c>
      <c r="Q9" s="39" t="s">
        <v>225</v>
      </c>
      <c r="R9" s="39" t="s">
        <v>237</v>
      </c>
      <c r="S9" s="42">
        <v>850</v>
      </c>
      <c r="T9" s="43"/>
      <c r="U9" s="40">
        <f t="shared" si="0"/>
        <v>765</v>
      </c>
      <c r="V9" s="1" t="s">
        <v>382</v>
      </c>
    </row>
    <row r="10" spans="1:22" ht="15" customHeight="1" x14ac:dyDescent="0.3">
      <c r="A10" s="33">
        <v>7</v>
      </c>
      <c r="B10" s="41" t="s">
        <v>235</v>
      </c>
      <c r="C10" s="35" t="s">
        <v>238</v>
      </c>
      <c r="D10" s="35" t="s">
        <v>207</v>
      </c>
      <c r="E10" s="36" t="s">
        <v>217</v>
      </c>
      <c r="F10" s="35">
        <v>90</v>
      </c>
      <c r="G10" s="39">
        <v>0.9</v>
      </c>
      <c r="H10" s="35" t="s">
        <v>229</v>
      </c>
      <c r="I10" s="35" t="s">
        <v>219</v>
      </c>
      <c r="J10" s="35" t="s">
        <v>212</v>
      </c>
      <c r="K10" s="35" t="s">
        <v>213</v>
      </c>
      <c r="L10" s="35" t="s">
        <v>229</v>
      </c>
      <c r="M10" s="35" t="s">
        <v>220</v>
      </c>
      <c r="N10" s="34">
        <v>6.07</v>
      </c>
      <c r="O10" s="34">
        <v>6.13</v>
      </c>
      <c r="P10" s="34">
        <v>3.84</v>
      </c>
      <c r="Q10" s="39" t="s">
        <v>221</v>
      </c>
      <c r="R10" s="39" t="s">
        <v>239</v>
      </c>
      <c r="S10" s="42">
        <v>850</v>
      </c>
      <c r="T10" s="43"/>
      <c r="U10" s="40">
        <f t="shared" si="0"/>
        <v>765</v>
      </c>
    </row>
    <row r="11" spans="1:22" ht="15" customHeight="1" x14ac:dyDescent="0.3">
      <c r="A11" s="33">
        <v>8</v>
      </c>
      <c r="B11" s="41" t="s">
        <v>240</v>
      </c>
      <c r="C11" s="44">
        <v>230000003616</v>
      </c>
      <c r="D11" s="35" t="s">
        <v>207</v>
      </c>
      <c r="E11" s="36" t="s">
        <v>241</v>
      </c>
      <c r="F11" s="37" t="s">
        <v>242</v>
      </c>
      <c r="G11" s="39">
        <v>0.93</v>
      </c>
      <c r="H11" s="35" t="s">
        <v>243</v>
      </c>
      <c r="I11" s="35" t="s">
        <v>219</v>
      </c>
      <c r="J11" s="35" t="s">
        <v>229</v>
      </c>
      <c r="K11" s="35" t="s">
        <v>212</v>
      </c>
      <c r="L11" s="35" t="s">
        <v>213</v>
      </c>
      <c r="M11" s="35" t="s">
        <v>244</v>
      </c>
      <c r="N11" s="34">
        <v>6.26</v>
      </c>
      <c r="O11" s="34">
        <v>6.28</v>
      </c>
      <c r="P11" s="38">
        <v>3.7</v>
      </c>
      <c r="Q11" s="39">
        <v>60</v>
      </c>
      <c r="R11" s="39">
        <v>59</v>
      </c>
      <c r="S11" s="42">
        <v>850</v>
      </c>
      <c r="T11" s="43"/>
      <c r="U11" s="40">
        <f t="shared" si="0"/>
        <v>790.5</v>
      </c>
    </row>
    <row r="12" spans="1:22" ht="15" customHeight="1" x14ac:dyDescent="0.3">
      <c r="A12" s="33">
        <v>9</v>
      </c>
      <c r="B12" s="41" t="s">
        <v>240</v>
      </c>
      <c r="C12" s="44">
        <v>230000003625</v>
      </c>
      <c r="D12" s="35" t="s">
        <v>207</v>
      </c>
      <c r="E12" s="36" t="s">
        <v>241</v>
      </c>
      <c r="F12" s="37" t="s">
        <v>242</v>
      </c>
      <c r="G12" s="39">
        <v>0.92</v>
      </c>
      <c r="H12" s="35" t="s">
        <v>210</v>
      </c>
      <c r="I12" s="35" t="s">
        <v>219</v>
      </c>
      <c r="J12" s="35" t="s">
        <v>213</v>
      </c>
      <c r="K12" s="35" t="s">
        <v>212</v>
      </c>
      <c r="L12" s="35" t="s">
        <v>213</v>
      </c>
      <c r="M12" s="35" t="s">
        <v>224</v>
      </c>
      <c r="N12" s="34">
        <v>6.35</v>
      </c>
      <c r="O12" s="38">
        <v>6.4</v>
      </c>
      <c r="P12" s="38">
        <v>4.04</v>
      </c>
      <c r="Q12" s="39">
        <v>56</v>
      </c>
      <c r="R12" s="39">
        <v>63.3</v>
      </c>
      <c r="S12" s="42">
        <v>850</v>
      </c>
      <c r="T12" s="43"/>
      <c r="U12" s="40">
        <f t="shared" si="0"/>
        <v>782</v>
      </c>
    </row>
    <row r="13" spans="1:22" ht="15" customHeight="1" x14ac:dyDescent="0.3">
      <c r="A13" s="33">
        <v>10</v>
      </c>
      <c r="B13" s="41" t="s">
        <v>245</v>
      </c>
      <c r="C13" s="44">
        <v>230000012932</v>
      </c>
      <c r="D13" s="35" t="s">
        <v>207</v>
      </c>
      <c r="E13" s="36" t="s">
        <v>241</v>
      </c>
      <c r="F13" s="37" t="s">
        <v>242</v>
      </c>
      <c r="G13" s="39">
        <v>0.9</v>
      </c>
      <c r="H13" s="35" t="s">
        <v>243</v>
      </c>
      <c r="I13" s="35" t="s">
        <v>219</v>
      </c>
      <c r="J13" s="35" t="s">
        <v>220</v>
      </c>
      <c r="K13" s="35" t="s">
        <v>212</v>
      </c>
      <c r="L13" s="35" t="s">
        <v>213</v>
      </c>
      <c r="M13" s="35" t="s">
        <v>224</v>
      </c>
      <c r="N13" s="34">
        <v>5.94</v>
      </c>
      <c r="O13" s="34">
        <v>5.88</v>
      </c>
      <c r="P13" s="38">
        <v>3.9</v>
      </c>
      <c r="Q13" s="39">
        <v>55</v>
      </c>
      <c r="R13" s="39">
        <v>65.900000000000006</v>
      </c>
      <c r="S13" s="42">
        <v>850</v>
      </c>
      <c r="T13" s="43"/>
      <c r="U13" s="40">
        <f t="shared" si="0"/>
        <v>765</v>
      </c>
      <c r="V13" s="1" t="s">
        <v>381</v>
      </c>
    </row>
    <row r="14" spans="1:22" ht="15" customHeight="1" x14ac:dyDescent="0.3">
      <c r="A14" s="33">
        <v>11</v>
      </c>
      <c r="B14" s="41" t="s">
        <v>245</v>
      </c>
      <c r="C14" s="44">
        <v>612304337</v>
      </c>
      <c r="D14" s="35" t="s">
        <v>207</v>
      </c>
      <c r="E14" s="36" t="s">
        <v>208</v>
      </c>
      <c r="F14" s="37" t="s">
        <v>242</v>
      </c>
      <c r="G14" s="39">
        <v>0.9</v>
      </c>
      <c r="H14" s="35" t="s">
        <v>229</v>
      </c>
      <c r="I14" s="35" t="s">
        <v>219</v>
      </c>
      <c r="J14" s="35" t="s">
        <v>229</v>
      </c>
      <c r="K14" s="35" t="s">
        <v>212</v>
      </c>
      <c r="L14" s="35" t="s">
        <v>229</v>
      </c>
      <c r="M14" s="35" t="s">
        <v>224</v>
      </c>
      <c r="N14" s="34">
        <v>5.96</v>
      </c>
      <c r="O14" s="34">
        <v>5.85</v>
      </c>
      <c r="P14" s="34">
        <v>3.92</v>
      </c>
      <c r="Q14" s="39">
        <v>53</v>
      </c>
      <c r="R14" s="39">
        <v>66.2</v>
      </c>
      <c r="S14" s="42">
        <v>850</v>
      </c>
      <c r="T14" s="43"/>
      <c r="U14" s="40">
        <f t="shared" si="0"/>
        <v>765</v>
      </c>
    </row>
    <row r="15" spans="1:22" ht="15" customHeight="1" x14ac:dyDescent="0.3">
      <c r="A15" s="33">
        <v>12</v>
      </c>
      <c r="B15" s="41" t="s">
        <v>245</v>
      </c>
      <c r="C15" s="44" t="s">
        <v>246</v>
      </c>
      <c r="D15" s="35" t="s">
        <v>207</v>
      </c>
      <c r="E15" s="36" t="s">
        <v>247</v>
      </c>
      <c r="F15" s="37" t="s">
        <v>242</v>
      </c>
      <c r="G15" s="39">
        <v>0.92</v>
      </c>
      <c r="H15" s="35" t="s">
        <v>248</v>
      </c>
      <c r="I15" s="35" t="s">
        <v>219</v>
      </c>
      <c r="J15" s="35" t="s">
        <v>212</v>
      </c>
      <c r="K15" s="35" t="s">
        <v>212</v>
      </c>
      <c r="L15" s="35" t="s">
        <v>212</v>
      </c>
      <c r="M15" s="35" t="s">
        <v>249</v>
      </c>
      <c r="N15" s="34">
        <v>6.05</v>
      </c>
      <c r="O15" s="34">
        <v>5.97</v>
      </c>
      <c r="P15" s="34">
        <v>3.87</v>
      </c>
      <c r="Q15" s="39"/>
      <c r="R15" s="39"/>
      <c r="S15" s="42">
        <v>850</v>
      </c>
      <c r="T15" s="43"/>
      <c r="U15" s="40">
        <f t="shared" si="0"/>
        <v>782</v>
      </c>
    </row>
    <row r="16" spans="1:22" ht="15" customHeight="1" x14ac:dyDescent="0.3">
      <c r="A16" s="33">
        <v>13</v>
      </c>
      <c r="B16" s="41" t="s">
        <v>245</v>
      </c>
      <c r="C16" s="44" t="s">
        <v>250</v>
      </c>
      <c r="D16" s="35" t="s">
        <v>207</v>
      </c>
      <c r="E16" s="36" t="s">
        <v>247</v>
      </c>
      <c r="F16" s="37" t="s">
        <v>242</v>
      </c>
      <c r="G16" s="39">
        <v>0.91</v>
      </c>
      <c r="H16" s="35" t="s">
        <v>229</v>
      </c>
      <c r="I16" s="35" t="s">
        <v>219</v>
      </c>
      <c r="J16" s="35" t="s">
        <v>229</v>
      </c>
      <c r="K16" s="35" t="s">
        <v>229</v>
      </c>
      <c r="L16" s="35" t="s">
        <v>212</v>
      </c>
      <c r="M16" s="35" t="s">
        <v>220</v>
      </c>
      <c r="N16" s="34">
        <v>6.04</v>
      </c>
      <c r="O16" s="34">
        <v>5.99</v>
      </c>
      <c r="P16" s="34">
        <v>3.85</v>
      </c>
      <c r="Q16" s="39"/>
      <c r="R16" s="39"/>
      <c r="S16" s="42">
        <v>850</v>
      </c>
      <c r="T16" s="43"/>
      <c r="U16" s="40">
        <f t="shared" si="0"/>
        <v>773.5</v>
      </c>
    </row>
    <row r="17" spans="1:21" ht="15" customHeight="1" x14ac:dyDescent="0.3">
      <c r="A17" s="33">
        <v>14</v>
      </c>
      <c r="B17" s="41" t="s">
        <v>245</v>
      </c>
      <c r="C17" s="44" t="s">
        <v>251</v>
      </c>
      <c r="D17" s="35" t="s">
        <v>207</v>
      </c>
      <c r="E17" s="36" t="s">
        <v>247</v>
      </c>
      <c r="F17" s="37" t="s">
        <v>242</v>
      </c>
      <c r="G17" s="39">
        <v>0.92</v>
      </c>
      <c r="H17" s="35" t="s">
        <v>218</v>
      </c>
      <c r="I17" s="35" t="s">
        <v>252</v>
      </c>
      <c r="J17" s="35" t="s">
        <v>229</v>
      </c>
      <c r="K17" s="35" t="s">
        <v>229</v>
      </c>
      <c r="L17" s="35" t="s">
        <v>212</v>
      </c>
      <c r="M17" s="35" t="s">
        <v>249</v>
      </c>
      <c r="N17" s="34">
        <v>6.02</v>
      </c>
      <c r="O17" s="34">
        <v>5.98</v>
      </c>
      <c r="P17" s="34">
        <v>3.86</v>
      </c>
      <c r="Q17" s="39"/>
      <c r="R17" s="39"/>
      <c r="S17" s="42">
        <v>850</v>
      </c>
      <c r="T17" s="43"/>
      <c r="U17" s="40">
        <f t="shared" si="0"/>
        <v>782</v>
      </c>
    </row>
    <row r="18" spans="1:21" ht="15" customHeight="1" x14ac:dyDescent="0.3">
      <c r="A18" s="33">
        <v>15</v>
      </c>
      <c r="B18" s="41" t="s">
        <v>253</v>
      </c>
      <c r="C18" s="44">
        <v>601399741</v>
      </c>
      <c r="D18" s="35" t="s">
        <v>207</v>
      </c>
      <c r="E18" s="36" t="s">
        <v>208</v>
      </c>
      <c r="F18" s="37" t="s">
        <v>242</v>
      </c>
      <c r="G18" s="39">
        <v>0.9</v>
      </c>
      <c r="H18" s="35" t="s">
        <v>210</v>
      </c>
      <c r="I18" s="35" t="s">
        <v>252</v>
      </c>
      <c r="J18" s="35" t="s">
        <v>229</v>
      </c>
      <c r="K18" s="35" t="s">
        <v>213</v>
      </c>
      <c r="L18" s="35" t="s">
        <v>212</v>
      </c>
      <c r="M18" s="35" t="s">
        <v>224</v>
      </c>
      <c r="N18" s="34">
        <v>6.18</v>
      </c>
      <c r="O18" s="34">
        <v>6.13</v>
      </c>
      <c r="P18" s="34">
        <v>3.72</v>
      </c>
      <c r="Q18" s="39">
        <v>57</v>
      </c>
      <c r="R18" s="39">
        <v>60.5</v>
      </c>
      <c r="S18" s="42">
        <v>850</v>
      </c>
      <c r="T18" s="43"/>
      <c r="U18" s="40">
        <f t="shared" si="0"/>
        <v>765</v>
      </c>
    </row>
    <row r="19" spans="1:21" ht="15" customHeight="1" x14ac:dyDescent="0.3">
      <c r="A19" s="33">
        <v>16</v>
      </c>
      <c r="B19" s="41" t="s">
        <v>253</v>
      </c>
      <c r="C19" s="44">
        <v>601399730</v>
      </c>
      <c r="D19" s="35" t="s">
        <v>207</v>
      </c>
      <c r="E19" s="36" t="s">
        <v>208</v>
      </c>
      <c r="F19" s="37" t="s">
        <v>242</v>
      </c>
      <c r="G19" s="39">
        <v>0.92</v>
      </c>
      <c r="H19" s="35" t="s">
        <v>220</v>
      </c>
      <c r="I19" s="35" t="s">
        <v>219</v>
      </c>
      <c r="J19" s="35" t="s">
        <v>229</v>
      </c>
      <c r="K19" s="35" t="s">
        <v>212</v>
      </c>
      <c r="L19" s="35" t="s">
        <v>212</v>
      </c>
      <c r="M19" s="35" t="s">
        <v>224</v>
      </c>
      <c r="N19" s="34">
        <v>6.07</v>
      </c>
      <c r="O19" s="38">
        <v>6</v>
      </c>
      <c r="P19" s="34">
        <v>3.89</v>
      </c>
      <c r="Q19" s="39">
        <v>55</v>
      </c>
      <c r="R19" s="39">
        <v>64.400000000000006</v>
      </c>
      <c r="S19" s="42">
        <v>850</v>
      </c>
      <c r="T19" s="43"/>
      <c r="U19" s="40">
        <f t="shared" si="0"/>
        <v>782</v>
      </c>
    </row>
    <row r="20" spans="1:21" ht="15" customHeight="1" x14ac:dyDescent="0.3">
      <c r="A20" s="33">
        <v>17</v>
      </c>
      <c r="B20" s="41" t="s">
        <v>253</v>
      </c>
      <c r="C20" s="44">
        <v>601399734</v>
      </c>
      <c r="D20" s="35" t="s">
        <v>207</v>
      </c>
      <c r="E20" s="36" t="s">
        <v>208</v>
      </c>
      <c r="F20" s="37" t="s">
        <v>242</v>
      </c>
      <c r="G20" s="39">
        <v>0.9</v>
      </c>
      <c r="H20" s="35" t="s">
        <v>229</v>
      </c>
      <c r="I20" s="35" t="s">
        <v>219</v>
      </c>
      <c r="J20" s="35" t="s">
        <v>213</v>
      </c>
      <c r="K20" s="35" t="s">
        <v>213</v>
      </c>
      <c r="L20" s="35" t="s">
        <v>213</v>
      </c>
      <c r="M20" s="35" t="s">
        <v>254</v>
      </c>
      <c r="N20" s="34">
        <v>6.17</v>
      </c>
      <c r="O20" s="34">
        <v>6.13</v>
      </c>
      <c r="P20" s="34">
        <v>3.83</v>
      </c>
      <c r="Q20" s="39">
        <v>58</v>
      </c>
      <c r="R20" s="39">
        <v>62.2</v>
      </c>
      <c r="S20" s="42">
        <v>850</v>
      </c>
      <c r="T20" s="43"/>
      <c r="U20" s="40">
        <f t="shared" si="0"/>
        <v>765</v>
      </c>
    </row>
    <row r="21" spans="1:21" ht="15" customHeight="1" x14ac:dyDescent="0.3">
      <c r="A21" s="33">
        <v>18</v>
      </c>
      <c r="B21" s="41" t="s">
        <v>253</v>
      </c>
      <c r="C21" s="44">
        <v>601399727</v>
      </c>
      <c r="D21" s="35" t="s">
        <v>207</v>
      </c>
      <c r="E21" s="36" t="s">
        <v>208</v>
      </c>
      <c r="F21" s="37" t="s">
        <v>242</v>
      </c>
      <c r="G21" s="39">
        <v>0.9</v>
      </c>
      <c r="H21" s="35" t="s">
        <v>229</v>
      </c>
      <c r="I21" s="35" t="s">
        <v>219</v>
      </c>
      <c r="J21" s="35" t="s">
        <v>229</v>
      </c>
      <c r="K21" s="35" t="s">
        <v>212</v>
      </c>
      <c r="L21" s="35" t="s">
        <v>212</v>
      </c>
      <c r="M21" s="35" t="s">
        <v>224</v>
      </c>
      <c r="N21" s="34">
        <v>5.98</v>
      </c>
      <c r="O21" s="34">
        <v>5.92</v>
      </c>
      <c r="P21" s="34">
        <v>3.93</v>
      </c>
      <c r="Q21" s="39">
        <v>55</v>
      </c>
      <c r="R21" s="39">
        <v>66</v>
      </c>
      <c r="S21" s="42">
        <v>850</v>
      </c>
      <c r="T21" s="43"/>
      <c r="U21" s="40">
        <f t="shared" si="0"/>
        <v>765</v>
      </c>
    </row>
    <row r="22" spans="1:21" ht="15" customHeight="1" x14ac:dyDescent="0.3">
      <c r="A22" s="33">
        <v>19</v>
      </c>
      <c r="B22" s="41" t="s">
        <v>253</v>
      </c>
      <c r="C22" s="45">
        <v>612305470</v>
      </c>
      <c r="D22" s="35" t="s">
        <v>207</v>
      </c>
      <c r="E22" s="36" t="s">
        <v>208</v>
      </c>
      <c r="F22" s="37" t="s">
        <v>242</v>
      </c>
      <c r="G22" s="39">
        <v>0.9</v>
      </c>
      <c r="H22" s="35" t="s">
        <v>229</v>
      </c>
      <c r="I22" s="35" t="s">
        <v>219</v>
      </c>
      <c r="J22" s="35" t="s">
        <v>229</v>
      </c>
      <c r="K22" s="35" t="s">
        <v>212</v>
      </c>
      <c r="L22" s="35" t="s">
        <v>212</v>
      </c>
      <c r="M22" s="35" t="s">
        <v>224</v>
      </c>
      <c r="N22" s="38">
        <v>5.92</v>
      </c>
      <c r="O22" s="34">
        <v>5.96</v>
      </c>
      <c r="P22" s="34">
        <v>3.94</v>
      </c>
      <c r="Q22" s="39">
        <v>55</v>
      </c>
      <c r="R22" s="39">
        <v>66.2</v>
      </c>
      <c r="S22" s="42">
        <v>850</v>
      </c>
      <c r="T22" s="43"/>
      <c r="U22" s="40">
        <f t="shared" si="0"/>
        <v>765</v>
      </c>
    </row>
    <row r="23" spans="1:21" ht="15" customHeight="1" x14ac:dyDescent="0.3">
      <c r="A23" s="33">
        <v>20</v>
      </c>
      <c r="B23" s="41" t="s">
        <v>253</v>
      </c>
      <c r="C23" s="45">
        <v>612305471</v>
      </c>
      <c r="D23" s="35" t="s">
        <v>207</v>
      </c>
      <c r="E23" s="36" t="s">
        <v>208</v>
      </c>
      <c r="F23" s="37" t="s">
        <v>242</v>
      </c>
      <c r="G23" s="39">
        <v>0.9</v>
      </c>
      <c r="H23" s="35" t="s">
        <v>220</v>
      </c>
      <c r="I23" s="35" t="s">
        <v>219</v>
      </c>
      <c r="J23" s="35" t="s">
        <v>229</v>
      </c>
      <c r="K23" s="35" t="s">
        <v>229</v>
      </c>
      <c r="L23" s="35" t="s">
        <v>212</v>
      </c>
      <c r="M23" s="35" t="s">
        <v>254</v>
      </c>
      <c r="N23" s="38">
        <v>5.9</v>
      </c>
      <c r="O23" s="34">
        <v>5.96</v>
      </c>
      <c r="P23" s="34">
        <v>3.94</v>
      </c>
      <c r="Q23" s="39">
        <v>53</v>
      </c>
      <c r="R23" s="39">
        <v>66.3</v>
      </c>
      <c r="S23" s="42">
        <v>850</v>
      </c>
      <c r="T23" s="43"/>
      <c r="U23" s="40">
        <f t="shared" si="0"/>
        <v>765</v>
      </c>
    </row>
    <row r="24" spans="1:21" ht="15" customHeight="1" x14ac:dyDescent="0.3">
      <c r="A24" s="33">
        <v>21</v>
      </c>
      <c r="B24" s="41" t="s">
        <v>253</v>
      </c>
      <c r="C24" s="45">
        <v>612305472</v>
      </c>
      <c r="D24" s="35" t="s">
        <v>207</v>
      </c>
      <c r="E24" s="36" t="s">
        <v>208</v>
      </c>
      <c r="F24" s="37" t="s">
        <v>242</v>
      </c>
      <c r="G24" s="39">
        <v>0.9</v>
      </c>
      <c r="H24" s="35" t="s">
        <v>229</v>
      </c>
      <c r="I24" s="35" t="s">
        <v>219</v>
      </c>
      <c r="J24" s="35" t="s">
        <v>229</v>
      </c>
      <c r="K24" s="35" t="s">
        <v>212</v>
      </c>
      <c r="L24" s="35" t="s">
        <v>212</v>
      </c>
      <c r="M24" s="35" t="s">
        <v>224</v>
      </c>
      <c r="N24" s="38">
        <v>5.92</v>
      </c>
      <c r="O24" s="34">
        <v>5.99</v>
      </c>
      <c r="P24" s="34">
        <v>3.96</v>
      </c>
      <c r="Q24" s="39">
        <v>55</v>
      </c>
      <c r="R24" s="39">
        <v>66.400000000000006</v>
      </c>
      <c r="S24" s="42">
        <v>850</v>
      </c>
      <c r="T24" s="43"/>
      <c r="U24" s="40">
        <f t="shared" si="0"/>
        <v>765</v>
      </c>
    </row>
    <row r="25" spans="1:21" ht="15" customHeight="1" x14ac:dyDescent="0.3">
      <c r="A25" s="33">
        <v>22</v>
      </c>
      <c r="B25" s="41" t="s">
        <v>253</v>
      </c>
      <c r="C25" s="45">
        <v>612307570</v>
      </c>
      <c r="D25" s="35" t="s">
        <v>207</v>
      </c>
      <c r="E25" s="36" t="s">
        <v>208</v>
      </c>
      <c r="F25" s="37" t="s">
        <v>242</v>
      </c>
      <c r="G25" s="39">
        <v>0.9</v>
      </c>
      <c r="H25" s="35" t="s">
        <v>218</v>
      </c>
      <c r="I25" s="35" t="s">
        <v>219</v>
      </c>
      <c r="J25" s="35" t="s">
        <v>229</v>
      </c>
      <c r="K25" s="35" t="s">
        <v>212</v>
      </c>
      <c r="L25" s="35" t="s">
        <v>212</v>
      </c>
      <c r="M25" s="35" t="s">
        <v>224</v>
      </c>
      <c r="N25" s="38">
        <v>5.94</v>
      </c>
      <c r="O25" s="34">
        <v>5.86</v>
      </c>
      <c r="P25" s="34">
        <v>3.9</v>
      </c>
      <c r="Q25" s="39">
        <v>56</v>
      </c>
      <c r="R25" s="39">
        <v>58.6</v>
      </c>
      <c r="S25" s="42">
        <v>850</v>
      </c>
      <c r="T25" s="43"/>
      <c r="U25" s="40">
        <f t="shared" si="0"/>
        <v>765</v>
      </c>
    </row>
    <row r="26" spans="1:21" ht="15" customHeight="1" x14ac:dyDescent="0.3">
      <c r="A26" s="33">
        <v>23</v>
      </c>
      <c r="B26" s="41" t="s">
        <v>253</v>
      </c>
      <c r="C26" s="45">
        <v>612305049</v>
      </c>
      <c r="D26" s="35" t="s">
        <v>207</v>
      </c>
      <c r="E26" s="36" t="s">
        <v>208</v>
      </c>
      <c r="F26" s="37" t="s">
        <v>242</v>
      </c>
      <c r="G26" s="39">
        <v>0.9</v>
      </c>
      <c r="H26" s="35" t="s">
        <v>229</v>
      </c>
      <c r="I26" s="35" t="s">
        <v>219</v>
      </c>
      <c r="J26" s="35" t="s">
        <v>229</v>
      </c>
      <c r="K26" s="35" t="s">
        <v>212</v>
      </c>
      <c r="L26" s="35" t="s">
        <v>212</v>
      </c>
      <c r="M26" s="35" t="s">
        <v>224</v>
      </c>
      <c r="N26" s="38">
        <v>5.89</v>
      </c>
      <c r="O26" s="34">
        <v>5.98</v>
      </c>
      <c r="P26" s="34">
        <v>3.88</v>
      </c>
      <c r="Q26" s="39">
        <v>55</v>
      </c>
      <c r="R26" s="39">
        <v>65.3</v>
      </c>
      <c r="S26" s="42">
        <v>850</v>
      </c>
      <c r="T26" s="43"/>
      <c r="U26" s="40">
        <f t="shared" si="0"/>
        <v>765</v>
      </c>
    </row>
    <row r="27" spans="1:21" ht="15" customHeight="1" x14ac:dyDescent="0.3">
      <c r="A27" s="33">
        <v>24</v>
      </c>
      <c r="B27" s="41" t="s">
        <v>253</v>
      </c>
      <c r="C27" s="45">
        <v>612305050</v>
      </c>
      <c r="D27" s="35" t="s">
        <v>207</v>
      </c>
      <c r="E27" s="36" t="s">
        <v>208</v>
      </c>
      <c r="F27" s="37" t="s">
        <v>242</v>
      </c>
      <c r="G27" s="39">
        <v>0.9</v>
      </c>
      <c r="H27" s="35" t="s">
        <v>220</v>
      </c>
      <c r="I27" s="35" t="s">
        <v>219</v>
      </c>
      <c r="J27" s="35" t="s">
        <v>212</v>
      </c>
      <c r="K27" s="35" t="s">
        <v>212</v>
      </c>
      <c r="L27" s="35" t="s">
        <v>212</v>
      </c>
      <c r="M27" s="35" t="s">
        <v>224</v>
      </c>
      <c r="N27" s="38">
        <v>5.94</v>
      </c>
      <c r="O27" s="34">
        <v>6.04</v>
      </c>
      <c r="P27" s="34">
        <v>3.9</v>
      </c>
      <c r="Q27" s="39">
        <v>57</v>
      </c>
      <c r="R27" s="39">
        <v>65</v>
      </c>
      <c r="S27" s="42">
        <v>850</v>
      </c>
      <c r="T27" s="43"/>
      <c r="U27" s="40">
        <f t="shared" si="0"/>
        <v>765</v>
      </c>
    </row>
    <row r="28" spans="1:21" ht="15" customHeight="1" x14ac:dyDescent="0.3">
      <c r="A28" s="33">
        <v>25</v>
      </c>
      <c r="B28" s="41" t="s">
        <v>253</v>
      </c>
      <c r="C28" s="45">
        <v>612305100</v>
      </c>
      <c r="D28" s="35" t="s">
        <v>207</v>
      </c>
      <c r="E28" s="36" t="s">
        <v>208</v>
      </c>
      <c r="F28" s="37" t="s">
        <v>242</v>
      </c>
      <c r="G28" s="39">
        <v>0.9</v>
      </c>
      <c r="H28" s="35" t="s">
        <v>229</v>
      </c>
      <c r="I28" s="35" t="s">
        <v>219</v>
      </c>
      <c r="J28" s="35" t="s">
        <v>229</v>
      </c>
      <c r="K28" s="35" t="s">
        <v>212</v>
      </c>
      <c r="L28" s="35" t="s">
        <v>212</v>
      </c>
      <c r="M28" s="35" t="s">
        <v>224</v>
      </c>
      <c r="N28" s="38">
        <v>5.92</v>
      </c>
      <c r="O28" s="34">
        <v>5.96</v>
      </c>
      <c r="P28" s="34">
        <v>3.85</v>
      </c>
      <c r="Q28" s="39">
        <v>65</v>
      </c>
      <c r="R28" s="39">
        <v>64.8</v>
      </c>
      <c r="S28" s="42">
        <v>850</v>
      </c>
      <c r="T28" s="43"/>
      <c r="U28" s="40">
        <f t="shared" si="0"/>
        <v>765</v>
      </c>
    </row>
    <row r="29" spans="1:21" ht="15" customHeight="1" x14ac:dyDescent="0.3">
      <c r="A29" s="33">
        <v>26</v>
      </c>
      <c r="B29" s="41" t="s">
        <v>255</v>
      </c>
      <c r="C29" s="45">
        <v>628457715</v>
      </c>
      <c r="D29" s="35" t="s">
        <v>207</v>
      </c>
      <c r="E29" s="36" t="s">
        <v>208</v>
      </c>
      <c r="F29" s="37" t="s">
        <v>256</v>
      </c>
      <c r="G29" s="39">
        <v>0.8</v>
      </c>
      <c r="H29" s="35" t="s">
        <v>210</v>
      </c>
      <c r="I29" s="35" t="s">
        <v>219</v>
      </c>
      <c r="J29" s="35" t="s">
        <v>229</v>
      </c>
      <c r="K29" s="35" t="s">
        <v>229</v>
      </c>
      <c r="L29" s="35" t="s">
        <v>212</v>
      </c>
      <c r="M29" s="35" t="s">
        <v>254</v>
      </c>
      <c r="N29" s="38">
        <v>5.86</v>
      </c>
      <c r="O29" s="34">
        <v>5.81</v>
      </c>
      <c r="P29" s="34">
        <v>3.62</v>
      </c>
      <c r="Q29" s="39">
        <v>63</v>
      </c>
      <c r="R29" s="39">
        <v>62</v>
      </c>
      <c r="S29" s="42">
        <v>850</v>
      </c>
      <c r="T29" s="43"/>
      <c r="U29" s="40">
        <f t="shared" si="0"/>
        <v>680</v>
      </c>
    </row>
    <row r="30" spans="1:21" ht="15" customHeight="1" x14ac:dyDescent="0.3">
      <c r="A30" s="33">
        <v>27</v>
      </c>
      <c r="B30" s="41" t="s">
        <v>257</v>
      </c>
      <c r="C30" s="45" t="s">
        <v>258</v>
      </c>
      <c r="D30" s="35" t="s">
        <v>207</v>
      </c>
      <c r="E30" s="36" t="s">
        <v>208</v>
      </c>
      <c r="F30" s="37" t="s">
        <v>256</v>
      </c>
      <c r="G30" s="39">
        <v>0.8</v>
      </c>
      <c r="H30" s="35" t="s">
        <v>210</v>
      </c>
      <c r="I30" s="35" t="s">
        <v>219</v>
      </c>
      <c r="J30" s="35" t="s">
        <v>229</v>
      </c>
      <c r="K30" s="35" t="s">
        <v>213</v>
      </c>
      <c r="L30" s="35" t="s">
        <v>212</v>
      </c>
      <c r="M30" s="35" t="s">
        <v>224</v>
      </c>
      <c r="N30" s="38">
        <v>5.71</v>
      </c>
      <c r="O30" s="34">
        <v>5.77</v>
      </c>
      <c r="P30" s="34">
        <v>3.75</v>
      </c>
      <c r="Q30" s="39">
        <v>53</v>
      </c>
      <c r="R30" s="39">
        <v>65.400000000000006</v>
      </c>
      <c r="S30" s="42">
        <v>850</v>
      </c>
      <c r="T30" s="43"/>
      <c r="U30" s="40">
        <f t="shared" si="0"/>
        <v>680</v>
      </c>
    </row>
    <row r="31" spans="1:21" ht="15" customHeight="1" x14ac:dyDescent="0.3">
      <c r="A31" s="33">
        <v>28</v>
      </c>
      <c r="B31" s="41" t="s">
        <v>259</v>
      </c>
      <c r="C31" s="45" t="s">
        <v>260</v>
      </c>
      <c r="D31" s="35" t="s">
        <v>207</v>
      </c>
      <c r="E31" s="36" t="s">
        <v>208</v>
      </c>
      <c r="F31" s="37" t="s">
        <v>256</v>
      </c>
      <c r="G31" s="39">
        <v>0.8</v>
      </c>
      <c r="H31" s="35" t="s">
        <v>210</v>
      </c>
      <c r="I31" s="35" t="s">
        <v>219</v>
      </c>
      <c r="J31" s="35" t="s">
        <v>212</v>
      </c>
      <c r="K31" s="35" t="s">
        <v>213</v>
      </c>
      <c r="L31" s="35" t="s">
        <v>212</v>
      </c>
      <c r="M31" s="35" t="s">
        <v>224</v>
      </c>
      <c r="N31" s="38">
        <v>5.82</v>
      </c>
      <c r="O31" s="34">
        <v>5.87</v>
      </c>
      <c r="P31" s="34">
        <v>3.64</v>
      </c>
      <c r="Q31" s="39">
        <v>62</v>
      </c>
      <c r="R31" s="39">
        <v>62.4</v>
      </c>
      <c r="S31" s="42">
        <v>850</v>
      </c>
      <c r="T31" s="43"/>
      <c r="U31" s="40">
        <f t="shared" si="0"/>
        <v>680</v>
      </c>
    </row>
    <row r="32" spans="1:21" ht="15" customHeight="1" x14ac:dyDescent="0.3">
      <c r="A32" s="33">
        <v>29</v>
      </c>
      <c r="B32" s="41" t="s">
        <v>261</v>
      </c>
      <c r="C32" s="45" t="s">
        <v>262</v>
      </c>
      <c r="D32" s="35" t="s">
        <v>207</v>
      </c>
      <c r="E32" s="36" t="s">
        <v>208</v>
      </c>
      <c r="F32" s="37" t="s">
        <v>256</v>
      </c>
      <c r="G32" s="39">
        <v>0.8</v>
      </c>
      <c r="H32" s="35" t="s">
        <v>210</v>
      </c>
      <c r="I32" s="35" t="s">
        <v>219</v>
      </c>
      <c r="J32" s="35" t="s">
        <v>212</v>
      </c>
      <c r="K32" s="35" t="s">
        <v>213</v>
      </c>
      <c r="L32" s="35" t="s">
        <v>212</v>
      </c>
      <c r="M32" s="35" t="s">
        <v>254</v>
      </c>
      <c r="N32" s="38">
        <v>5.73</v>
      </c>
      <c r="O32" s="34">
        <v>5.79</v>
      </c>
      <c r="P32" s="34">
        <v>3.77</v>
      </c>
      <c r="Q32" s="39">
        <v>57</v>
      </c>
      <c r="R32" s="39">
        <v>65.400000000000006</v>
      </c>
      <c r="S32" s="42">
        <v>850</v>
      </c>
      <c r="T32" s="43"/>
      <c r="U32" s="40">
        <f t="shared" si="0"/>
        <v>680</v>
      </c>
    </row>
    <row r="33" spans="1:21" ht="15" customHeight="1" x14ac:dyDescent="0.3">
      <c r="A33" s="33">
        <v>30</v>
      </c>
      <c r="B33" s="41" t="s">
        <v>263</v>
      </c>
      <c r="C33" s="45" t="s">
        <v>264</v>
      </c>
      <c r="D33" s="35" t="s">
        <v>207</v>
      </c>
      <c r="E33" s="36" t="s">
        <v>208</v>
      </c>
      <c r="F33" s="37" t="s">
        <v>256</v>
      </c>
      <c r="G33" s="39">
        <v>0.82</v>
      </c>
      <c r="H33" s="35" t="s">
        <v>210</v>
      </c>
      <c r="I33" s="35" t="s">
        <v>219</v>
      </c>
      <c r="J33" s="35" t="s">
        <v>212</v>
      </c>
      <c r="K33" s="35" t="s">
        <v>212</v>
      </c>
      <c r="L33" s="35" t="s">
        <v>212</v>
      </c>
      <c r="M33" s="35" t="s">
        <v>254</v>
      </c>
      <c r="N33" s="38">
        <v>5.76</v>
      </c>
      <c r="O33" s="34">
        <v>5.81</v>
      </c>
      <c r="P33" s="34">
        <v>3.76</v>
      </c>
      <c r="Q33" s="39">
        <v>58</v>
      </c>
      <c r="R33" s="39">
        <v>64.900000000000006</v>
      </c>
      <c r="S33" s="42">
        <v>850</v>
      </c>
      <c r="T33" s="43"/>
      <c r="U33" s="40">
        <f t="shared" si="0"/>
        <v>697</v>
      </c>
    </row>
    <row r="34" spans="1:21" ht="15" customHeight="1" x14ac:dyDescent="0.3">
      <c r="A34" s="33">
        <v>31</v>
      </c>
      <c r="B34" s="41" t="s">
        <v>265</v>
      </c>
      <c r="C34" s="45" t="s">
        <v>266</v>
      </c>
      <c r="D34" s="35" t="s">
        <v>207</v>
      </c>
      <c r="E34" s="36" t="s">
        <v>208</v>
      </c>
      <c r="F34" s="37" t="s">
        <v>256</v>
      </c>
      <c r="G34" s="39">
        <v>0.81</v>
      </c>
      <c r="H34" s="35" t="s">
        <v>220</v>
      </c>
      <c r="I34" s="35" t="s">
        <v>219</v>
      </c>
      <c r="J34" s="35" t="s">
        <v>212</v>
      </c>
      <c r="K34" s="35" t="s">
        <v>212</v>
      </c>
      <c r="L34" s="35" t="s">
        <v>212</v>
      </c>
      <c r="M34" s="35" t="s">
        <v>224</v>
      </c>
      <c r="N34" s="38">
        <v>5.75</v>
      </c>
      <c r="O34" s="34">
        <v>5.78</v>
      </c>
      <c r="P34" s="34">
        <v>3.74</v>
      </c>
      <c r="Q34" s="39">
        <v>56</v>
      </c>
      <c r="R34" s="39">
        <v>64.900000000000006</v>
      </c>
      <c r="S34" s="42">
        <v>850</v>
      </c>
      <c r="T34" s="43"/>
      <c r="U34" s="40">
        <f t="shared" si="0"/>
        <v>688.5</v>
      </c>
    </row>
    <row r="35" spans="1:21" ht="15" customHeight="1" x14ac:dyDescent="0.3">
      <c r="A35" s="33">
        <v>32</v>
      </c>
      <c r="B35" s="41" t="s">
        <v>267</v>
      </c>
      <c r="C35" s="45" t="s">
        <v>268</v>
      </c>
      <c r="D35" s="35" t="s">
        <v>207</v>
      </c>
      <c r="E35" s="36" t="s">
        <v>208</v>
      </c>
      <c r="F35" s="37" t="s">
        <v>256</v>
      </c>
      <c r="G35" s="39">
        <v>0.81</v>
      </c>
      <c r="H35" s="35" t="s">
        <v>220</v>
      </c>
      <c r="I35" s="35" t="s">
        <v>219</v>
      </c>
      <c r="J35" s="35" t="s">
        <v>229</v>
      </c>
      <c r="K35" s="35" t="s">
        <v>212</v>
      </c>
      <c r="L35" s="35" t="s">
        <v>212</v>
      </c>
      <c r="M35" s="35" t="s">
        <v>224</v>
      </c>
      <c r="N35" s="38">
        <v>5.9</v>
      </c>
      <c r="O35" s="34">
        <v>5.95</v>
      </c>
      <c r="P35" s="34">
        <v>3.67</v>
      </c>
      <c r="Q35" s="39">
        <v>56</v>
      </c>
      <c r="R35" s="39">
        <v>61.9</v>
      </c>
      <c r="S35" s="42">
        <v>850</v>
      </c>
      <c r="T35" s="43"/>
      <c r="U35" s="40">
        <f t="shared" si="0"/>
        <v>688.5</v>
      </c>
    </row>
    <row r="36" spans="1:21" ht="15" customHeight="1" x14ac:dyDescent="0.3">
      <c r="A36" s="33">
        <v>33</v>
      </c>
      <c r="B36" s="41" t="s">
        <v>269</v>
      </c>
      <c r="C36" s="45" t="s">
        <v>270</v>
      </c>
      <c r="D36" s="35" t="s">
        <v>207</v>
      </c>
      <c r="E36" s="36" t="s">
        <v>208</v>
      </c>
      <c r="F36" s="37" t="s">
        <v>256</v>
      </c>
      <c r="G36" s="39">
        <v>0.81</v>
      </c>
      <c r="H36" s="35" t="s">
        <v>220</v>
      </c>
      <c r="I36" s="35" t="s">
        <v>219</v>
      </c>
      <c r="J36" s="35" t="s">
        <v>229</v>
      </c>
      <c r="K36" s="35" t="s">
        <v>212</v>
      </c>
      <c r="L36" s="35" t="s">
        <v>212</v>
      </c>
      <c r="M36" s="35" t="s">
        <v>254</v>
      </c>
      <c r="N36" s="38">
        <v>5.68</v>
      </c>
      <c r="O36" s="34">
        <v>5.74</v>
      </c>
      <c r="P36" s="34">
        <v>3.77</v>
      </c>
      <c r="Q36" s="39">
        <v>59</v>
      </c>
      <c r="R36" s="39">
        <v>65.900000000000006</v>
      </c>
      <c r="S36" s="42">
        <v>850</v>
      </c>
      <c r="T36" s="43"/>
      <c r="U36" s="40">
        <f t="shared" si="0"/>
        <v>688.5</v>
      </c>
    </row>
    <row r="37" spans="1:21" ht="15" customHeight="1" x14ac:dyDescent="0.3">
      <c r="A37" s="33">
        <v>34</v>
      </c>
      <c r="B37" s="41" t="s">
        <v>271</v>
      </c>
      <c r="C37" s="45" t="s">
        <v>272</v>
      </c>
      <c r="D37" s="35" t="s">
        <v>207</v>
      </c>
      <c r="E37" s="36" t="s">
        <v>208</v>
      </c>
      <c r="F37" s="37" t="s">
        <v>256</v>
      </c>
      <c r="G37" s="39">
        <v>0.8</v>
      </c>
      <c r="H37" s="35" t="s">
        <v>220</v>
      </c>
      <c r="I37" s="35" t="s">
        <v>219</v>
      </c>
      <c r="J37" s="35" t="s">
        <v>229</v>
      </c>
      <c r="K37" s="35" t="s">
        <v>213</v>
      </c>
      <c r="L37" s="35" t="s">
        <v>212</v>
      </c>
      <c r="M37" s="35" t="s">
        <v>224</v>
      </c>
      <c r="N37" s="38">
        <v>5.73</v>
      </c>
      <c r="O37" s="34">
        <v>5.78</v>
      </c>
      <c r="P37" s="34">
        <v>3.77</v>
      </c>
      <c r="Q37" s="39">
        <v>54</v>
      </c>
      <c r="R37" s="39">
        <v>65.5</v>
      </c>
      <c r="S37" s="42">
        <v>850</v>
      </c>
      <c r="T37" s="43"/>
      <c r="U37" s="40">
        <f t="shared" si="0"/>
        <v>680</v>
      </c>
    </row>
    <row r="38" spans="1:21" ht="15" customHeight="1" x14ac:dyDescent="0.3">
      <c r="A38" s="33">
        <v>35</v>
      </c>
      <c r="B38" s="41" t="s">
        <v>273</v>
      </c>
      <c r="C38" s="45" t="s">
        <v>274</v>
      </c>
      <c r="D38" s="35" t="s">
        <v>207</v>
      </c>
      <c r="E38" s="36" t="s">
        <v>208</v>
      </c>
      <c r="F38" s="37" t="s">
        <v>256</v>
      </c>
      <c r="G38" s="39">
        <v>0.82</v>
      </c>
      <c r="H38" s="35" t="s">
        <v>220</v>
      </c>
      <c r="I38" s="35" t="s">
        <v>219</v>
      </c>
      <c r="J38" s="35" t="s">
        <v>212</v>
      </c>
      <c r="K38" s="35" t="s">
        <v>213</v>
      </c>
      <c r="L38" s="35" t="s">
        <v>212</v>
      </c>
      <c r="M38" s="35" t="s">
        <v>224</v>
      </c>
      <c r="N38" s="38">
        <v>5.81</v>
      </c>
      <c r="O38" s="34">
        <v>5.83</v>
      </c>
      <c r="P38" s="34">
        <v>3.78</v>
      </c>
      <c r="Q38" s="39">
        <v>53</v>
      </c>
      <c r="R38" s="39">
        <v>64.900000000000006</v>
      </c>
      <c r="S38" s="42">
        <v>850</v>
      </c>
      <c r="T38" s="43"/>
      <c r="U38" s="40">
        <f t="shared" si="0"/>
        <v>697</v>
      </c>
    </row>
    <row r="39" spans="1:21" ht="15" customHeight="1" x14ac:dyDescent="0.3">
      <c r="A39" s="33">
        <v>36</v>
      </c>
      <c r="B39" s="41" t="s">
        <v>275</v>
      </c>
      <c r="C39" s="45" t="s">
        <v>276</v>
      </c>
      <c r="D39" s="35" t="s">
        <v>207</v>
      </c>
      <c r="E39" s="36" t="s">
        <v>208</v>
      </c>
      <c r="F39" s="37" t="s">
        <v>256</v>
      </c>
      <c r="G39" s="39">
        <v>0.81</v>
      </c>
      <c r="H39" s="35" t="s">
        <v>220</v>
      </c>
      <c r="I39" s="35" t="s">
        <v>219</v>
      </c>
      <c r="J39" s="35" t="s">
        <v>212</v>
      </c>
      <c r="K39" s="35" t="s">
        <v>213</v>
      </c>
      <c r="L39" s="35" t="s">
        <v>212</v>
      </c>
      <c r="M39" s="35" t="s">
        <v>224</v>
      </c>
      <c r="N39" s="38">
        <v>5.72</v>
      </c>
      <c r="O39" s="34">
        <v>5.78</v>
      </c>
      <c r="P39" s="34">
        <v>3.77</v>
      </c>
      <c r="Q39" s="39">
        <v>57</v>
      </c>
      <c r="R39" s="39">
        <v>65.599999999999994</v>
      </c>
      <c r="S39" s="42">
        <v>850</v>
      </c>
      <c r="T39" s="43"/>
      <c r="U39" s="40">
        <f t="shared" si="0"/>
        <v>688.5</v>
      </c>
    </row>
    <row r="40" spans="1:21" ht="15" customHeight="1" x14ac:dyDescent="0.3">
      <c r="A40" s="33">
        <v>37</v>
      </c>
      <c r="B40" s="41" t="s">
        <v>277</v>
      </c>
      <c r="C40" s="45" t="s">
        <v>278</v>
      </c>
      <c r="D40" s="35" t="s">
        <v>207</v>
      </c>
      <c r="E40" s="36" t="s">
        <v>208</v>
      </c>
      <c r="F40" s="37" t="s">
        <v>256</v>
      </c>
      <c r="G40" s="39">
        <v>0.88</v>
      </c>
      <c r="H40" s="35" t="s">
        <v>229</v>
      </c>
      <c r="I40" s="35" t="s">
        <v>219</v>
      </c>
      <c r="J40" s="35" t="s">
        <v>212</v>
      </c>
      <c r="K40" s="35" t="s">
        <v>212</v>
      </c>
      <c r="L40" s="35" t="s">
        <v>212</v>
      </c>
      <c r="M40" s="35" t="s">
        <v>224</v>
      </c>
      <c r="N40" s="38">
        <v>5.91</v>
      </c>
      <c r="O40" s="34">
        <v>5.97</v>
      </c>
      <c r="P40" s="34">
        <v>3.87</v>
      </c>
      <c r="Q40" s="39">
        <v>60</v>
      </c>
      <c r="R40" s="39">
        <v>65.099999999999994</v>
      </c>
      <c r="S40" s="42">
        <v>850</v>
      </c>
      <c r="T40" s="43"/>
      <c r="U40" s="40">
        <f t="shared" si="0"/>
        <v>748</v>
      </c>
    </row>
    <row r="41" spans="1:21" ht="15" customHeight="1" x14ac:dyDescent="0.3">
      <c r="A41" s="33">
        <v>38</v>
      </c>
      <c r="B41" s="41" t="s">
        <v>279</v>
      </c>
      <c r="C41" s="45" t="s">
        <v>280</v>
      </c>
      <c r="D41" s="35" t="s">
        <v>207</v>
      </c>
      <c r="E41" s="36" t="s">
        <v>208</v>
      </c>
      <c r="F41" s="37" t="s">
        <v>256</v>
      </c>
      <c r="G41" s="39">
        <v>0.84</v>
      </c>
      <c r="H41" s="35" t="s">
        <v>229</v>
      </c>
      <c r="I41" s="35" t="s">
        <v>219</v>
      </c>
      <c r="J41" s="35" t="s">
        <v>212</v>
      </c>
      <c r="K41" s="35" t="s">
        <v>212</v>
      </c>
      <c r="L41" s="35" t="s">
        <v>212</v>
      </c>
      <c r="M41" s="35" t="s">
        <v>224</v>
      </c>
      <c r="N41" s="38">
        <v>5.83</v>
      </c>
      <c r="O41" s="34">
        <v>5.88</v>
      </c>
      <c r="P41" s="34">
        <v>3.79</v>
      </c>
      <c r="Q41" s="39">
        <v>63</v>
      </c>
      <c r="R41" s="39">
        <v>64.7</v>
      </c>
      <c r="S41" s="42">
        <v>850</v>
      </c>
      <c r="T41" s="43"/>
      <c r="U41" s="40">
        <f t="shared" si="0"/>
        <v>714</v>
      </c>
    </row>
    <row r="42" spans="1:21" ht="15" customHeight="1" x14ac:dyDescent="0.3">
      <c r="A42" s="33">
        <v>39</v>
      </c>
      <c r="B42" s="41" t="s">
        <v>281</v>
      </c>
      <c r="C42" s="45" t="s">
        <v>282</v>
      </c>
      <c r="D42" s="35" t="s">
        <v>207</v>
      </c>
      <c r="E42" s="36" t="s">
        <v>208</v>
      </c>
      <c r="F42" s="37" t="s">
        <v>256</v>
      </c>
      <c r="G42" s="39">
        <v>0.84</v>
      </c>
      <c r="H42" s="35" t="s">
        <v>229</v>
      </c>
      <c r="I42" s="35" t="s">
        <v>219</v>
      </c>
      <c r="J42" s="35" t="s">
        <v>212</v>
      </c>
      <c r="K42" s="35" t="s">
        <v>212</v>
      </c>
      <c r="L42" s="35" t="s">
        <v>212</v>
      </c>
      <c r="M42" s="35" t="s">
        <v>224</v>
      </c>
      <c r="N42" s="38">
        <v>5.82</v>
      </c>
      <c r="O42" s="34">
        <v>5.89</v>
      </c>
      <c r="P42" s="34">
        <v>3.77</v>
      </c>
      <c r="Q42" s="39">
        <v>56</v>
      </c>
      <c r="R42" s="39">
        <v>64.2</v>
      </c>
      <c r="S42" s="42">
        <v>850</v>
      </c>
      <c r="T42" s="43"/>
      <c r="U42" s="40">
        <f t="shared" si="0"/>
        <v>714</v>
      </c>
    </row>
    <row r="43" spans="1:21" ht="15" customHeight="1" x14ac:dyDescent="0.3">
      <c r="A43" s="33">
        <v>40</v>
      </c>
      <c r="B43" s="41" t="s">
        <v>283</v>
      </c>
      <c r="C43" s="45" t="s">
        <v>284</v>
      </c>
      <c r="D43" s="35" t="s">
        <v>207</v>
      </c>
      <c r="E43" s="36" t="s">
        <v>208</v>
      </c>
      <c r="F43" s="37" t="s">
        <v>256</v>
      </c>
      <c r="G43" s="39">
        <v>0.84</v>
      </c>
      <c r="H43" s="35" t="s">
        <v>229</v>
      </c>
      <c r="I43" s="35" t="s">
        <v>219</v>
      </c>
      <c r="J43" s="35" t="s">
        <v>212</v>
      </c>
      <c r="K43" s="35" t="s">
        <v>212</v>
      </c>
      <c r="L43" s="35" t="s">
        <v>212</v>
      </c>
      <c r="M43" s="35" t="s">
        <v>224</v>
      </c>
      <c r="N43" s="38">
        <v>5.89</v>
      </c>
      <c r="O43" s="34">
        <v>5.92</v>
      </c>
      <c r="P43" s="34">
        <v>3.8</v>
      </c>
      <c r="Q43" s="39">
        <v>57</v>
      </c>
      <c r="R43" s="39">
        <v>64.3</v>
      </c>
      <c r="S43" s="42">
        <v>850</v>
      </c>
      <c r="T43" s="43"/>
      <c r="U43" s="40">
        <f t="shared" si="0"/>
        <v>714</v>
      </c>
    </row>
    <row r="44" spans="1:21" ht="15" customHeight="1" x14ac:dyDescent="0.3">
      <c r="A44" s="33">
        <v>41</v>
      </c>
      <c r="B44" s="41" t="s">
        <v>285</v>
      </c>
      <c r="C44" s="45" t="s">
        <v>286</v>
      </c>
      <c r="D44" s="35" t="s">
        <v>207</v>
      </c>
      <c r="E44" s="36" t="s">
        <v>208</v>
      </c>
      <c r="F44" s="37" t="s">
        <v>256</v>
      </c>
      <c r="G44" s="39">
        <v>0.83</v>
      </c>
      <c r="H44" s="35" t="s">
        <v>229</v>
      </c>
      <c r="I44" s="35" t="s">
        <v>219</v>
      </c>
      <c r="J44" s="35" t="s">
        <v>212</v>
      </c>
      <c r="K44" s="35" t="s">
        <v>213</v>
      </c>
      <c r="L44" s="35" t="s">
        <v>212</v>
      </c>
      <c r="M44" s="35" t="s">
        <v>224</v>
      </c>
      <c r="N44" s="38">
        <v>5.83</v>
      </c>
      <c r="O44" s="34">
        <v>5.92</v>
      </c>
      <c r="P44" s="34">
        <v>3.78</v>
      </c>
      <c r="Q44" s="39">
        <v>54</v>
      </c>
      <c r="R44" s="39">
        <v>64.2</v>
      </c>
      <c r="S44" s="42">
        <v>850</v>
      </c>
      <c r="T44" s="43"/>
      <c r="U44" s="40">
        <f t="shared" si="0"/>
        <v>705.5</v>
      </c>
    </row>
    <row r="45" spans="1:21" ht="15" customHeight="1" x14ac:dyDescent="0.3">
      <c r="A45" s="33">
        <v>42</v>
      </c>
      <c r="B45" s="41" t="s">
        <v>287</v>
      </c>
      <c r="C45" s="45" t="s">
        <v>288</v>
      </c>
      <c r="D45" s="35" t="s">
        <v>207</v>
      </c>
      <c r="E45" s="36" t="s">
        <v>208</v>
      </c>
      <c r="F45" s="37" t="s">
        <v>256</v>
      </c>
      <c r="G45" s="39">
        <v>0.8</v>
      </c>
      <c r="H45" s="35" t="s">
        <v>229</v>
      </c>
      <c r="I45" s="35" t="s">
        <v>219</v>
      </c>
      <c r="J45" s="35" t="s">
        <v>213</v>
      </c>
      <c r="K45" s="35" t="s">
        <v>212</v>
      </c>
      <c r="L45" s="35" t="s">
        <v>212</v>
      </c>
      <c r="M45" s="35" t="s">
        <v>224</v>
      </c>
      <c r="N45" s="38">
        <v>5.91</v>
      </c>
      <c r="O45" s="34">
        <v>5.97</v>
      </c>
      <c r="P45" s="34">
        <v>3.57</v>
      </c>
      <c r="Q45" s="39">
        <v>62</v>
      </c>
      <c r="R45" s="39">
        <v>60.1</v>
      </c>
      <c r="S45" s="42">
        <v>850</v>
      </c>
      <c r="T45" s="43"/>
      <c r="U45" s="40">
        <f t="shared" si="0"/>
        <v>680</v>
      </c>
    </row>
    <row r="46" spans="1:21" ht="15" customHeight="1" x14ac:dyDescent="0.3">
      <c r="A46" s="33">
        <v>43</v>
      </c>
      <c r="B46" s="41" t="s">
        <v>289</v>
      </c>
      <c r="C46" s="45" t="s">
        <v>290</v>
      </c>
      <c r="D46" s="35" t="s">
        <v>207</v>
      </c>
      <c r="E46" s="36" t="s">
        <v>208</v>
      </c>
      <c r="F46" s="37" t="s">
        <v>256</v>
      </c>
      <c r="G46" s="39">
        <v>0.82</v>
      </c>
      <c r="H46" s="35" t="s">
        <v>229</v>
      </c>
      <c r="I46" s="35" t="s">
        <v>219</v>
      </c>
      <c r="J46" s="35" t="s">
        <v>212</v>
      </c>
      <c r="K46" s="35" t="s">
        <v>212</v>
      </c>
      <c r="L46" s="35" t="s">
        <v>229</v>
      </c>
      <c r="M46" s="35" t="s">
        <v>224</v>
      </c>
      <c r="N46" s="38">
        <v>5.8</v>
      </c>
      <c r="O46" s="34">
        <v>5.92</v>
      </c>
      <c r="P46" s="34">
        <v>3.76</v>
      </c>
      <c r="Q46" s="39">
        <v>55</v>
      </c>
      <c r="R46" s="39">
        <v>64</v>
      </c>
      <c r="S46" s="42">
        <v>850</v>
      </c>
      <c r="T46" s="43"/>
      <c r="U46" s="40">
        <f t="shared" si="0"/>
        <v>697</v>
      </c>
    </row>
    <row r="47" spans="1:21" ht="15" customHeight="1" x14ac:dyDescent="0.3">
      <c r="A47" s="33">
        <v>44</v>
      </c>
      <c r="B47" s="41" t="s">
        <v>291</v>
      </c>
      <c r="C47" s="45" t="s">
        <v>292</v>
      </c>
      <c r="D47" s="35" t="s">
        <v>207</v>
      </c>
      <c r="E47" s="36" t="s">
        <v>208</v>
      </c>
      <c r="F47" s="37" t="s">
        <v>256</v>
      </c>
      <c r="G47" s="39">
        <v>0.82</v>
      </c>
      <c r="H47" s="35" t="s">
        <v>229</v>
      </c>
      <c r="I47" s="35" t="s">
        <v>219</v>
      </c>
      <c r="J47" s="35" t="s">
        <v>213</v>
      </c>
      <c r="K47" s="35" t="s">
        <v>213</v>
      </c>
      <c r="L47" s="35" t="s">
        <v>213</v>
      </c>
      <c r="M47" s="35" t="s">
        <v>224</v>
      </c>
      <c r="N47" s="38">
        <v>5.94</v>
      </c>
      <c r="O47" s="34">
        <v>5.99</v>
      </c>
      <c r="P47" s="34">
        <v>3.73</v>
      </c>
      <c r="Q47" s="39">
        <v>55</v>
      </c>
      <c r="R47" s="39">
        <v>62.5</v>
      </c>
      <c r="S47" s="42">
        <v>850</v>
      </c>
      <c r="T47" s="43"/>
      <c r="U47" s="40">
        <f t="shared" si="0"/>
        <v>697</v>
      </c>
    </row>
    <row r="48" spans="1:21" ht="15" customHeight="1" x14ac:dyDescent="0.3">
      <c r="A48" s="33">
        <v>45</v>
      </c>
      <c r="B48" s="41" t="s">
        <v>293</v>
      </c>
      <c r="C48" s="45" t="s">
        <v>294</v>
      </c>
      <c r="D48" s="35" t="s">
        <v>207</v>
      </c>
      <c r="E48" s="36" t="s">
        <v>208</v>
      </c>
      <c r="F48" s="37" t="s">
        <v>256</v>
      </c>
      <c r="G48" s="39">
        <v>0.8</v>
      </c>
      <c r="H48" s="35" t="s">
        <v>229</v>
      </c>
      <c r="I48" s="35" t="s">
        <v>219</v>
      </c>
      <c r="J48" s="35" t="s">
        <v>212</v>
      </c>
      <c r="K48" s="35" t="s">
        <v>212</v>
      </c>
      <c r="L48" s="35" t="s">
        <v>213</v>
      </c>
      <c r="M48" s="35" t="s">
        <v>224</v>
      </c>
      <c r="N48" s="38">
        <v>5.79</v>
      </c>
      <c r="O48" s="34">
        <v>5.81</v>
      </c>
      <c r="P48" s="34">
        <v>3.75</v>
      </c>
      <c r="Q48" s="39">
        <v>60</v>
      </c>
      <c r="R48" s="39">
        <v>64.7</v>
      </c>
      <c r="S48" s="42">
        <v>850</v>
      </c>
      <c r="T48" s="43"/>
      <c r="U48" s="40">
        <f t="shared" si="0"/>
        <v>680</v>
      </c>
    </row>
    <row r="49" spans="1:21" ht="15" customHeight="1" x14ac:dyDescent="0.3">
      <c r="A49" s="33">
        <v>46</v>
      </c>
      <c r="B49" s="41" t="s">
        <v>293</v>
      </c>
      <c r="C49" s="45" t="s">
        <v>295</v>
      </c>
      <c r="D49" s="35" t="s">
        <v>207</v>
      </c>
      <c r="E49" s="36" t="s">
        <v>208</v>
      </c>
      <c r="F49" s="37" t="s">
        <v>256</v>
      </c>
      <c r="G49" s="39">
        <v>0.82</v>
      </c>
      <c r="H49" s="35" t="s">
        <v>229</v>
      </c>
      <c r="I49" s="35" t="s">
        <v>219</v>
      </c>
      <c r="J49" s="35" t="s">
        <v>229</v>
      </c>
      <c r="K49" s="35" t="s">
        <v>212</v>
      </c>
      <c r="L49" s="35" t="s">
        <v>212</v>
      </c>
      <c r="M49" s="35" t="s">
        <v>224</v>
      </c>
      <c r="N49" s="38">
        <v>5.75</v>
      </c>
      <c r="O49" s="34">
        <v>5.8</v>
      </c>
      <c r="P49" s="34">
        <v>3.71</v>
      </c>
      <c r="Q49" s="39">
        <v>58</v>
      </c>
      <c r="R49" s="39">
        <v>64.3</v>
      </c>
      <c r="S49" s="42">
        <v>850</v>
      </c>
      <c r="T49" s="43"/>
      <c r="U49" s="40">
        <f t="shared" si="0"/>
        <v>697</v>
      </c>
    </row>
    <row r="50" spans="1:21" ht="15" customHeight="1" x14ac:dyDescent="0.3">
      <c r="A50" s="62"/>
      <c r="B50" s="63"/>
      <c r="C50" s="46"/>
      <c r="D50" s="64"/>
      <c r="E50" s="65"/>
      <c r="F50" s="66"/>
      <c r="G50" s="67"/>
      <c r="H50" s="64"/>
      <c r="I50" s="64"/>
      <c r="J50" s="64"/>
      <c r="K50" s="64"/>
      <c r="L50" s="64"/>
      <c r="M50" s="64"/>
      <c r="N50" s="67"/>
      <c r="O50" s="64"/>
      <c r="P50" s="64"/>
      <c r="Q50" s="67"/>
      <c r="R50" s="67"/>
      <c r="S50" s="42"/>
      <c r="T50" s="43"/>
      <c r="U50" s="40"/>
    </row>
    <row r="51" spans="1:21" ht="15" customHeight="1" x14ac:dyDescent="0.3">
      <c r="A51" s="33">
        <v>47</v>
      </c>
      <c r="B51" s="46" t="s">
        <v>296</v>
      </c>
      <c r="C51" s="46">
        <v>6412581744</v>
      </c>
      <c r="D51" s="46" t="s">
        <v>298</v>
      </c>
      <c r="E51" s="46" t="s">
        <v>30</v>
      </c>
      <c r="F51" s="46" t="s">
        <v>302</v>
      </c>
      <c r="G51" s="47">
        <v>0.51</v>
      </c>
      <c r="H51" s="46" t="s">
        <v>229</v>
      </c>
      <c r="I51" s="46" t="s">
        <v>299</v>
      </c>
      <c r="J51" s="46"/>
      <c r="K51" s="46" t="s">
        <v>213</v>
      </c>
      <c r="L51" s="46" t="s">
        <v>212</v>
      </c>
      <c r="M51" s="46" t="s">
        <v>220</v>
      </c>
      <c r="N51" s="46">
        <v>5.54</v>
      </c>
      <c r="O51" s="46">
        <v>3.68</v>
      </c>
      <c r="P51" s="46">
        <v>2.5099999999999998</v>
      </c>
      <c r="Q51" s="47">
        <v>68.099999999999994</v>
      </c>
      <c r="R51" s="47">
        <v>65</v>
      </c>
      <c r="S51" s="48">
        <v>1077.1200000000001</v>
      </c>
      <c r="T51" s="49"/>
      <c r="U51" s="40">
        <f t="shared" si="0"/>
        <v>549.33120000000008</v>
      </c>
    </row>
    <row r="52" spans="1:21" ht="15" customHeight="1" x14ac:dyDescent="0.3">
      <c r="A52" s="33">
        <v>48</v>
      </c>
      <c r="B52" s="46" t="s">
        <v>297</v>
      </c>
      <c r="C52" s="46">
        <v>6545140300</v>
      </c>
      <c r="D52" s="46" t="s">
        <v>298</v>
      </c>
      <c r="E52" s="46" t="s">
        <v>30</v>
      </c>
      <c r="F52" s="46" t="s">
        <v>302</v>
      </c>
      <c r="G52" s="47">
        <v>0.51</v>
      </c>
      <c r="H52" s="46" t="s">
        <v>243</v>
      </c>
      <c r="I52" s="46" t="s">
        <v>300</v>
      </c>
      <c r="J52" s="46"/>
      <c r="K52" s="46" t="s">
        <v>213</v>
      </c>
      <c r="L52" s="46" t="s">
        <v>212</v>
      </c>
      <c r="M52" s="46" t="s">
        <v>224</v>
      </c>
      <c r="N52" s="46">
        <v>5.89</v>
      </c>
      <c r="O52" s="46">
        <v>3.54</v>
      </c>
      <c r="P52" s="46">
        <v>2.41</v>
      </c>
      <c r="Q52" s="47">
        <v>68.099999999999994</v>
      </c>
      <c r="R52" s="47">
        <v>57</v>
      </c>
      <c r="S52" s="48">
        <v>1009.8000000000001</v>
      </c>
      <c r="T52" s="49"/>
      <c r="U52" s="40">
        <f t="shared" si="0"/>
        <v>514.99800000000005</v>
      </c>
    </row>
    <row r="53" spans="1:21" ht="15" customHeight="1" x14ac:dyDescent="0.3">
      <c r="A53" s="33">
        <v>49</v>
      </c>
      <c r="B53" s="46" t="s">
        <v>297</v>
      </c>
      <c r="C53" s="46">
        <v>1539630673</v>
      </c>
      <c r="D53" s="46" t="s">
        <v>298</v>
      </c>
      <c r="E53" s="46" t="s">
        <v>30</v>
      </c>
      <c r="F53" s="46" t="s">
        <v>302</v>
      </c>
      <c r="G53" s="47">
        <v>0.57999999999999996</v>
      </c>
      <c r="H53" s="46" t="s">
        <v>243</v>
      </c>
      <c r="I53" s="46" t="s">
        <v>300</v>
      </c>
      <c r="J53" s="46"/>
      <c r="K53" s="46" t="s">
        <v>213</v>
      </c>
      <c r="L53" s="46" t="s">
        <v>212</v>
      </c>
      <c r="M53" s="46" t="s">
        <v>224</v>
      </c>
      <c r="N53" s="46">
        <v>5.77</v>
      </c>
      <c r="O53" s="46">
        <v>3.86</v>
      </c>
      <c r="P53" s="46">
        <v>2.5499999999999998</v>
      </c>
      <c r="Q53" s="47">
        <v>65.900000000000006</v>
      </c>
      <c r="R53" s="47">
        <v>63</v>
      </c>
      <c r="S53" s="48">
        <v>1013.778</v>
      </c>
      <c r="T53" s="49"/>
      <c r="U53" s="40">
        <f t="shared" si="0"/>
        <v>587.99123999999995</v>
      </c>
    </row>
    <row r="54" spans="1:21" ht="15" customHeight="1" x14ac:dyDescent="0.3">
      <c r="A54" s="33">
        <v>50</v>
      </c>
      <c r="B54" s="46" t="s">
        <v>297</v>
      </c>
      <c r="C54" s="46">
        <v>7528574515</v>
      </c>
      <c r="D54" s="46" t="s">
        <v>298</v>
      </c>
      <c r="E54" s="46" t="s">
        <v>30</v>
      </c>
      <c r="F54" s="46" t="s">
        <v>302</v>
      </c>
      <c r="G54" s="47">
        <v>0.55000000000000004</v>
      </c>
      <c r="H54" s="46" t="s">
        <v>243</v>
      </c>
      <c r="I54" s="46" t="s">
        <v>300</v>
      </c>
      <c r="J54" s="46"/>
      <c r="K54" s="46" t="s">
        <v>212</v>
      </c>
      <c r="L54" s="46" t="s">
        <v>212</v>
      </c>
      <c r="M54" s="46" t="s">
        <v>224</v>
      </c>
      <c r="N54" s="46">
        <v>5.72</v>
      </c>
      <c r="O54" s="46">
        <v>3.9</v>
      </c>
      <c r="P54" s="46">
        <v>2.58</v>
      </c>
      <c r="Q54" s="47">
        <v>66.2</v>
      </c>
      <c r="R54" s="47">
        <v>71</v>
      </c>
      <c r="S54" s="48">
        <v>1006.74</v>
      </c>
      <c r="T54" s="49"/>
      <c r="U54" s="40">
        <f t="shared" si="0"/>
        <v>553.70699999999999</v>
      </c>
    </row>
    <row r="55" spans="1:21" ht="15" customHeight="1" x14ac:dyDescent="0.3">
      <c r="A55" s="33">
        <v>51</v>
      </c>
      <c r="B55" s="46" t="s">
        <v>297</v>
      </c>
      <c r="C55" s="46">
        <v>6531713963</v>
      </c>
      <c r="D55" s="46" t="s">
        <v>298</v>
      </c>
      <c r="E55" s="46" t="s">
        <v>30</v>
      </c>
      <c r="F55" s="46" t="s">
        <v>302</v>
      </c>
      <c r="G55" s="47">
        <v>0.51</v>
      </c>
      <c r="H55" s="46" t="s">
        <v>243</v>
      </c>
      <c r="I55" s="46" t="s">
        <v>301</v>
      </c>
      <c r="J55" s="46"/>
      <c r="K55" s="46" t="s">
        <v>213</v>
      </c>
      <c r="L55" s="46" t="s">
        <v>212</v>
      </c>
      <c r="M55" s="46" t="s">
        <v>220</v>
      </c>
      <c r="N55" s="46">
        <v>5.7</v>
      </c>
      <c r="O55" s="46">
        <v>3.79</v>
      </c>
      <c r="P55" s="46">
        <v>2.61</v>
      </c>
      <c r="Q55" s="47">
        <v>69</v>
      </c>
      <c r="R55" s="47">
        <v>67</v>
      </c>
      <c r="S55" s="48">
        <v>999.6</v>
      </c>
      <c r="T55" s="49"/>
      <c r="U55" s="40">
        <f t="shared" si="0"/>
        <v>509.79599999999999</v>
      </c>
    </row>
    <row r="56" spans="1:21" ht="15" customHeight="1" x14ac:dyDescent="0.3">
      <c r="A56" s="33">
        <v>52</v>
      </c>
      <c r="B56" s="46" t="s">
        <v>297</v>
      </c>
      <c r="C56" s="46">
        <v>6535082991</v>
      </c>
      <c r="D56" s="46" t="s">
        <v>298</v>
      </c>
      <c r="E56" s="46" t="s">
        <v>30</v>
      </c>
      <c r="F56" s="46" t="s">
        <v>302</v>
      </c>
      <c r="G56" s="47">
        <v>0.52</v>
      </c>
      <c r="H56" s="46" t="s">
        <v>243</v>
      </c>
      <c r="I56" s="46" t="s">
        <v>301</v>
      </c>
      <c r="J56" s="46"/>
      <c r="K56" s="46" t="s">
        <v>213</v>
      </c>
      <c r="L56" s="46" t="s">
        <v>212</v>
      </c>
      <c r="M56" s="46" t="s">
        <v>224</v>
      </c>
      <c r="N56" s="46">
        <v>5.71</v>
      </c>
      <c r="O56" s="46">
        <v>3.68</v>
      </c>
      <c r="P56" s="46">
        <v>2.5</v>
      </c>
      <c r="Q56" s="47">
        <v>67.900000000000006</v>
      </c>
      <c r="R56" s="47">
        <v>63</v>
      </c>
      <c r="S56" s="48">
        <v>1028.1600000000001</v>
      </c>
      <c r="T56" s="49"/>
      <c r="U56" s="40">
        <f t="shared" si="0"/>
        <v>534.64320000000009</v>
      </c>
    </row>
    <row r="57" spans="1:21" ht="15" customHeight="1" x14ac:dyDescent="0.3">
      <c r="A57" s="33">
        <v>53</v>
      </c>
      <c r="B57" s="46" t="s">
        <v>297</v>
      </c>
      <c r="C57" s="46">
        <v>2235805253</v>
      </c>
      <c r="D57" s="46" t="s">
        <v>298</v>
      </c>
      <c r="E57" s="46" t="s">
        <v>30</v>
      </c>
      <c r="F57" s="46" t="s">
        <v>302</v>
      </c>
      <c r="G57" s="47">
        <v>0.56000000000000005</v>
      </c>
      <c r="H57" s="46" t="s">
        <v>243</v>
      </c>
      <c r="I57" s="46" t="s">
        <v>301</v>
      </c>
      <c r="J57" s="46"/>
      <c r="K57" s="46" t="s">
        <v>213</v>
      </c>
      <c r="L57" s="46" t="s">
        <v>213</v>
      </c>
      <c r="M57" s="46" t="s">
        <v>220</v>
      </c>
      <c r="N57" s="46">
        <v>5.7</v>
      </c>
      <c r="O57" s="46">
        <v>3.91</v>
      </c>
      <c r="P57" s="46">
        <v>2.68</v>
      </c>
      <c r="Q57" s="47">
        <v>68.400000000000006</v>
      </c>
      <c r="R57" s="47">
        <v>65</v>
      </c>
      <c r="S57" s="48">
        <v>1026.1607999999999</v>
      </c>
      <c r="T57" s="49"/>
      <c r="U57" s="40">
        <f t="shared" si="0"/>
        <v>574.65004799999997</v>
      </c>
    </row>
    <row r="58" spans="1:21" ht="15" customHeight="1" x14ac:dyDescent="0.3">
      <c r="A58" s="33">
        <v>54</v>
      </c>
      <c r="B58" s="46" t="s">
        <v>297</v>
      </c>
      <c r="C58" s="46">
        <v>6542161774</v>
      </c>
      <c r="D58" s="46" t="s">
        <v>298</v>
      </c>
      <c r="E58" s="46" t="s">
        <v>30</v>
      </c>
      <c r="F58" s="46" t="s">
        <v>302</v>
      </c>
      <c r="G58" s="47">
        <v>0.5</v>
      </c>
      <c r="H58" s="46" t="s">
        <v>243</v>
      </c>
      <c r="I58" s="46" t="s">
        <v>301</v>
      </c>
      <c r="J58" s="46"/>
      <c r="K58" s="46" t="s">
        <v>213</v>
      </c>
      <c r="L58" s="46" t="s">
        <v>212</v>
      </c>
      <c r="M58" s="46" t="s">
        <v>220</v>
      </c>
      <c r="N58" s="46">
        <v>5.86</v>
      </c>
      <c r="O58" s="46">
        <v>3.73</v>
      </c>
      <c r="P58" s="46">
        <v>2.41</v>
      </c>
      <c r="Q58" s="47">
        <v>64.5</v>
      </c>
      <c r="R58" s="47">
        <v>67</v>
      </c>
      <c r="S58" s="48">
        <v>953.7</v>
      </c>
      <c r="T58" s="49"/>
      <c r="U58" s="40">
        <f t="shared" si="0"/>
        <v>476.85</v>
      </c>
    </row>
    <row r="59" spans="1:21" ht="15" customHeight="1" x14ac:dyDescent="0.3">
      <c r="A59" s="33">
        <v>55</v>
      </c>
      <c r="B59" s="46" t="s">
        <v>297</v>
      </c>
      <c r="C59" s="46">
        <v>2537928339</v>
      </c>
      <c r="D59" s="46" t="s">
        <v>298</v>
      </c>
      <c r="E59" s="46" t="s">
        <v>30</v>
      </c>
      <c r="F59" s="46" t="s">
        <v>302</v>
      </c>
      <c r="G59" s="47">
        <v>0.57999999999999996</v>
      </c>
      <c r="H59" s="46" t="s">
        <v>243</v>
      </c>
      <c r="I59" s="46" t="s">
        <v>299</v>
      </c>
      <c r="J59" s="46"/>
      <c r="K59" s="46" t="s">
        <v>213</v>
      </c>
      <c r="L59" s="46" t="s">
        <v>213</v>
      </c>
      <c r="M59" s="46" t="s">
        <v>224</v>
      </c>
      <c r="N59" s="46">
        <v>5.72</v>
      </c>
      <c r="O59" s="46">
        <v>4.09</v>
      </c>
      <c r="P59" s="46">
        <v>2.61</v>
      </c>
      <c r="Q59" s="47">
        <v>63.8</v>
      </c>
      <c r="R59" s="47">
        <v>70</v>
      </c>
      <c r="S59" s="48">
        <v>941.46</v>
      </c>
      <c r="T59" s="49"/>
      <c r="U59" s="40">
        <f t="shared" si="0"/>
        <v>546.04679999999996</v>
      </c>
    </row>
    <row r="60" spans="1:21" ht="15" customHeight="1" x14ac:dyDescent="0.3">
      <c r="A60" s="33">
        <v>56</v>
      </c>
      <c r="B60" s="46" t="s">
        <v>297</v>
      </c>
      <c r="C60" s="46">
        <v>1232751324</v>
      </c>
      <c r="D60" s="46" t="s">
        <v>298</v>
      </c>
      <c r="E60" s="46" t="s">
        <v>30</v>
      </c>
      <c r="F60" s="46" t="s">
        <v>302</v>
      </c>
      <c r="G60" s="47">
        <v>0.5</v>
      </c>
      <c r="H60" s="46" t="s">
        <v>243</v>
      </c>
      <c r="I60" s="46" t="s">
        <v>299</v>
      </c>
      <c r="J60" s="46"/>
      <c r="K60" s="46" t="s">
        <v>213</v>
      </c>
      <c r="L60" s="46" t="s">
        <v>229</v>
      </c>
      <c r="M60" s="46" t="s">
        <v>220</v>
      </c>
      <c r="N60" s="46">
        <v>5.77</v>
      </c>
      <c r="O60" s="46">
        <v>3.74</v>
      </c>
      <c r="P60" s="46">
        <v>2.42</v>
      </c>
      <c r="Q60" s="47">
        <v>64.7</v>
      </c>
      <c r="R60" s="47">
        <v>64</v>
      </c>
      <c r="S60" s="48">
        <v>939.86880000000008</v>
      </c>
      <c r="T60" s="49"/>
      <c r="U60" s="40">
        <f t="shared" si="0"/>
        <v>469.93440000000004</v>
      </c>
    </row>
    <row r="61" spans="1:21" ht="15" customHeight="1" x14ac:dyDescent="0.3">
      <c r="A61" s="33">
        <v>57</v>
      </c>
      <c r="B61" s="46" t="s">
        <v>297</v>
      </c>
      <c r="C61" s="46">
        <v>6532771619</v>
      </c>
      <c r="D61" s="46" t="s">
        <v>298</v>
      </c>
      <c r="E61" s="46" t="s">
        <v>30</v>
      </c>
      <c r="F61" s="46" t="s">
        <v>302</v>
      </c>
      <c r="G61" s="47">
        <v>0.55000000000000004</v>
      </c>
      <c r="H61" s="46" t="s">
        <v>243</v>
      </c>
      <c r="I61" s="46" t="s">
        <v>299</v>
      </c>
      <c r="J61" s="46"/>
      <c r="K61" s="46" t="s">
        <v>213</v>
      </c>
      <c r="L61" s="46" t="s">
        <v>212</v>
      </c>
      <c r="M61" s="46" t="s">
        <v>224</v>
      </c>
      <c r="N61" s="46">
        <v>5.81</v>
      </c>
      <c r="O61" s="46">
        <v>3.72</v>
      </c>
      <c r="P61" s="46" t="s">
        <v>303</v>
      </c>
      <c r="Q61" s="47">
        <v>67.2</v>
      </c>
      <c r="R61" s="47">
        <v>64</v>
      </c>
      <c r="S61" s="48">
        <v>901.68000000000006</v>
      </c>
      <c r="T61" s="49"/>
      <c r="U61" s="40">
        <f t="shared" si="0"/>
        <v>495.92400000000009</v>
      </c>
    </row>
    <row r="62" spans="1:21" ht="15" customHeight="1" x14ac:dyDescent="0.3">
      <c r="A62" s="33">
        <v>58</v>
      </c>
      <c r="B62" s="46" t="s">
        <v>297</v>
      </c>
      <c r="C62" s="46">
        <v>7538490969</v>
      </c>
      <c r="D62" s="46" t="s">
        <v>298</v>
      </c>
      <c r="E62" s="46" t="s">
        <v>30</v>
      </c>
      <c r="F62" s="46" t="s">
        <v>302</v>
      </c>
      <c r="G62" s="47">
        <v>0.6</v>
      </c>
      <c r="H62" s="46" t="s">
        <v>243</v>
      </c>
      <c r="I62" s="46" t="s">
        <v>211</v>
      </c>
      <c r="J62" s="46"/>
      <c r="K62" s="46" t="s">
        <v>213</v>
      </c>
      <c r="L62" s="46" t="s">
        <v>212</v>
      </c>
      <c r="M62" s="46" t="s">
        <v>224</v>
      </c>
      <c r="N62" s="46">
        <v>5.78</v>
      </c>
      <c r="O62" s="46">
        <v>3.98</v>
      </c>
      <c r="P62" s="46">
        <v>2.72</v>
      </c>
      <c r="Q62" s="47">
        <v>68.2</v>
      </c>
      <c r="R62" s="47">
        <v>68</v>
      </c>
      <c r="S62" s="48">
        <v>856.80000000000007</v>
      </c>
      <c r="T62" s="49"/>
      <c r="U62" s="40">
        <f t="shared" si="0"/>
        <v>514.08000000000004</v>
      </c>
    </row>
    <row r="63" spans="1:21" ht="15" customHeight="1" x14ac:dyDescent="0.3">
      <c r="A63" s="33">
        <v>59</v>
      </c>
      <c r="B63" s="46" t="s">
        <v>297</v>
      </c>
      <c r="C63" s="46">
        <v>6545190236</v>
      </c>
      <c r="D63" s="46" t="s">
        <v>298</v>
      </c>
      <c r="E63" s="46" t="s">
        <v>30</v>
      </c>
      <c r="F63" s="46" t="s">
        <v>302</v>
      </c>
      <c r="G63" s="47">
        <v>0.51</v>
      </c>
      <c r="H63" s="46" t="s">
        <v>243</v>
      </c>
      <c r="I63" s="46" t="s">
        <v>211</v>
      </c>
      <c r="J63" s="46"/>
      <c r="K63" s="46" t="s">
        <v>213</v>
      </c>
      <c r="L63" s="46" t="s">
        <v>213</v>
      </c>
      <c r="M63" s="46" t="s">
        <v>220</v>
      </c>
      <c r="N63" s="46">
        <v>5.76</v>
      </c>
      <c r="O63" s="46">
        <v>3.73</v>
      </c>
      <c r="P63" s="46">
        <v>2.4700000000000002</v>
      </c>
      <c r="Q63" s="47">
        <v>66.2</v>
      </c>
      <c r="R63" s="47">
        <v>66</v>
      </c>
      <c r="S63" s="48">
        <v>795.6</v>
      </c>
      <c r="T63" s="49"/>
      <c r="U63" s="40">
        <f t="shared" si="0"/>
        <v>405.75600000000003</v>
      </c>
    </row>
    <row r="64" spans="1:21" ht="15" customHeight="1" x14ac:dyDescent="0.3">
      <c r="A64" s="33">
        <v>60</v>
      </c>
      <c r="B64" s="46" t="s">
        <v>297</v>
      </c>
      <c r="C64" s="46">
        <v>7532906650</v>
      </c>
      <c r="D64" s="46" t="s">
        <v>298</v>
      </c>
      <c r="E64" s="46" t="s">
        <v>30</v>
      </c>
      <c r="F64" s="46" t="s">
        <v>302</v>
      </c>
      <c r="G64" s="47">
        <v>0.5</v>
      </c>
      <c r="H64" s="46" t="s">
        <v>243</v>
      </c>
      <c r="I64" s="46" t="s">
        <v>211</v>
      </c>
      <c r="J64" s="46"/>
      <c r="K64" s="46" t="s">
        <v>212</v>
      </c>
      <c r="L64" s="46" t="s">
        <v>212</v>
      </c>
      <c r="M64" s="46" t="s">
        <v>224</v>
      </c>
      <c r="N64" s="46">
        <v>5.83</v>
      </c>
      <c r="O64" s="46">
        <v>3.54</v>
      </c>
      <c r="P64" s="46">
        <v>2.4500000000000002</v>
      </c>
      <c r="Q64" s="47">
        <v>69</v>
      </c>
      <c r="R64" s="47">
        <v>69</v>
      </c>
      <c r="S64" s="48">
        <v>984.30000000000007</v>
      </c>
      <c r="T64" s="49"/>
      <c r="U64" s="40">
        <f t="shared" si="0"/>
        <v>492.15000000000003</v>
      </c>
    </row>
    <row r="65" spans="1:21" ht="15" customHeight="1" x14ac:dyDescent="0.3">
      <c r="A65" s="33">
        <v>61</v>
      </c>
      <c r="B65" s="46" t="s">
        <v>297</v>
      </c>
      <c r="C65" s="46">
        <v>6532719772</v>
      </c>
      <c r="D65" s="46" t="s">
        <v>298</v>
      </c>
      <c r="E65" s="46" t="s">
        <v>30</v>
      </c>
      <c r="F65" s="46" t="s">
        <v>302</v>
      </c>
      <c r="G65" s="47">
        <v>0.52</v>
      </c>
      <c r="H65" s="46" t="s">
        <v>243</v>
      </c>
      <c r="I65" s="46" t="s">
        <v>211</v>
      </c>
      <c r="J65" s="46"/>
      <c r="K65" s="46" t="s">
        <v>213</v>
      </c>
      <c r="L65" s="46" t="s">
        <v>213</v>
      </c>
      <c r="M65" s="46" t="s">
        <v>224</v>
      </c>
      <c r="N65" s="46">
        <v>5.83</v>
      </c>
      <c r="O65" s="46">
        <v>3.73</v>
      </c>
      <c r="P65" s="46">
        <v>2.4900000000000002</v>
      </c>
      <c r="Q65" s="47">
        <v>66.900000000000006</v>
      </c>
      <c r="R65" s="47">
        <v>65</v>
      </c>
      <c r="S65" s="48">
        <v>893.52</v>
      </c>
      <c r="T65" s="49"/>
      <c r="U65" s="40">
        <f t="shared" si="0"/>
        <v>464.63040000000001</v>
      </c>
    </row>
    <row r="66" spans="1:21" ht="15" customHeight="1" x14ac:dyDescent="0.3">
      <c r="A66" s="33">
        <v>62</v>
      </c>
      <c r="B66" s="46" t="s">
        <v>297</v>
      </c>
      <c r="C66" s="46">
        <v>1539789554</v>
      </c>
      <c r="D66" s="46" t="s">
        <v>298</v>
      </c>
      <c r="E66" s="46" t="s">
        <v>30</v>
      </c>
      <c r="F66" s="46" t="s">
        <v>302</v>
      </c>
      <c r="G66" s="47">
        <v>0.56999999999999995</v>
      </c>
      <c r="H66" s="46" t="s">
        <v>210</v>
      </c>
      <c r="I66" s="46" t="s">
        <v>301</v>
      </c>
      <c r="J66" s="46"/>
      <c r="K66" s="46" t="s">
        <v>212</v>
      </c>
      <c r="L66" s="46" t="s">
        <v>213</v>
      </c>
      <c r="M66" s="46" t="s">
        <v>224</v>
      </c>
      <c r="N66" s="46">
        <v>5.79</v>
      </c>
      <c r="O66" s="46">
        <v>3.92</v>
      </c>
      <c r="P66" s="46">
        <v>2.62</v>
      </c>
      <c r="Q66" s="47">
        <v>66.900000000000006</v>
      </c>
      <c r="R66" s="47">
        <v>65</v>
      </c>
      <c r="S66" s="48">
        <v>981.24</v>
      </c>
      <c r="T66" s="49"/>
      <c r="U66" s="40">
        <f t="shared" si="0"/>
        <v>559.30679999999995</v>
      </c>
    </row>
    <row r="67" spans="1:21" ht="15" customHeight="1" x14ac:dyDescent="0.3">
      <c r="A67" s="62"/>
      <c r="B67" s="46"/>
      <c r="C67" s="46"/>
      <c r="D67" s="46"/>
      <c r="E67" s="46"/>
      <c r="F67" s="46"/>
      <c r="G67" s="47"/>
      <c r="H67" s="46"/>
      <c r="I67" s="46"/>
      <c r="J67" s="46"/>
      <c r="K67" s="46"/>
      <c r="L67" s="46"/>
      <c r="M67" s="46"/>
      <c r="N67" s="46"/>
      <c r="O67" s="46"/>
      <c r="P67" s="46"/>
      <c r="Q67" s="47"/>
      <c r="R67" s="47"/>
      <c r="S67" s="48"/>
      <c r="T67" s="49"/>
      <c r="U67" s="40"/>
    </row>
    <row r="68" spans="1:21" ht="15" customHeight="1" x14ac:dyDescent="0.3">
      <c r="A68" s="33">
        <v>63</v>
      </c>
      <c r="B68" s="46" t="s">
        <v>305</v>
      </c>
      <c r="C68" s="46">
        <v>7538933745</v>
      </c>
      <c r="D68" s="46" t="s">
        <v>298</v>
      </c>
      <c r="E68" s="46" t="s">
        <v>30</v>
      </c>
      <c r="F68" s="46" t="s">
        <v>304</v>
      </c>
      <c r="G68" s="47">
        <v>0.8</v>
      </c>
      <c r="H68" s="46" t="s">
        <v>243</v>
      </c>
      <c r="I68" s="46" t="s">
        <v>299</v>
      </c>
      <c r="J68" s="46"/>
      <c r="K68" s="46" t="s">
        <v>213</v>
      </c>
      <c r="L68" s="46" t="s">
        <v>213</v>
      </c>
      <c r="M68" s="46" t="s">
        <v>244</v>
      </c>
      <c r="N68" s="46">
        <v>6.24</v>
      </c>
      <c r="O68" s="46">
        <v>4.34</v>
      </c>
      <c r="P68" s="46">
        <v>2.87</v>
      </c>
      <c r="Q68" s="47">
        <v>68</v>
      </c>
      <c r="R68" s="47">
        <v>66.2</v>
      </c>
      <c r="S68" s="48">
        <v>1113.33</v>
      </c>
      <c r="T68" s="49"/>
      <c r="U68" s="40">
        <f t="shared" si="0"/>
        <v>890.66399999999999</v>
      </c>
    </row>
    <row r="69" spans="1:21" ht="15" customHeight="1" x14ac:dyDescent="0.3">
      <c r="A69" s="33">
        <v>64</v>
      </c>
      <c r="B69" s="46" t="s">
        <v>305</v>
      </c>
      <c r="C69" s="46">
        <v>6542212735</v>
      </c>
      <c r="D69" s="46" t="s">
        <v>298</v>
      </c>
      <c r="E69" s="46" t="s">
        <v>30</v>
      </c>
      <c r="F69" s="46" t="s">
        <v>304</v>
      </c>
      <c r="G69" s="47">
        <v>0.8</v>
      </c>
      <c r="H69" s="46" t="s">
        <v>243</v>
      </c>
      <c r="I69" s="46" t="s">
        <v>211</v>
      </c>
      <c r="J69" s="46"/>
      <c r="K69" s="46" t="s">
        <v>213</v>
      </c>
      <c r="L69" s="46" t="s">
        <v>212</v>
      </c>
      <c r="M69" s="46" t="s">
        <v>220</v>
      </c>
      <c r="N69" s="46">
        <v>6.3</v>
      </c>
      <c r="O69" s="46">
        <v>4.38</v>
      </c>
      <c r="P69" s="46">
        <v>2.92</v>
      </c>
      <c r="Q69" s="47">
        <v>66</v>
      </c>
      <c r="R69" s="47">
        <v>66.8</v>
      </c>
      <c r="S69" s="48">
        <v>1179.1200000000001</v>
      </c>
      <c r="T69" s="49"/>
      <c r="U69" s="40">
        <f t="shared" si="0"/>
        <v>943.29600000000016</v>
      </c>
    </row>
    <row r="70" spans="1:21" ht="15" customHeight="1" x14ac:dyDescent="0.3">
      <c r="A70" s="33">
        <v>65</v>
      </c>
      <c r="B70" s="46" t="s">
        <v>305</v>
      </c>
      <c r="C70" s="46">
        <v>1528953402</v>
      </c>
      <c r="D70" s="46" t="s">
        <v>298</v>
      </c>
      <c r="E70" s="46" t="s">
        <v>30</v>
      </c>
      <c r="F70" s="46" t="s">
        <v>304</v>
      </c>
      <c r="G70" s="47">
        <v>0.81</v>
      </c>
      <c r="H70" s="46" t="s">
        <v>243</v>
      </c>
      <c r="I70" s="46" t="s">
        <v>211</v>
      </c>
      <c r="J70" s="46"/>
      <c r="K70" s="46" t="s">
        <v>213</v>
      </c>
      <c r="L70" s="46" t="s">
        <v>213</v>
      </c>
      <c r="M70" s="46" t="s">
        <v>224</v>
      </c>
      <c r="N70" s="46">
        <v>6.38</v>
      </c>
      <c r="O70" s="46">
        <v>4.3899999999999997</v>
      </c>
      <c r="P70" s="46">
        <v>2.93</v>
      </c>
      <c r="Q70" s="47">
        <v>67</v>
      </c>
      <c r="R70" s="47">
        <v>66.8</v>
      </c>
      <c r="S70" s="48">
        <v>1300.5</v>
      </c>
      <c r="T70" s="49"/>
      <c r="U70" s="40">
        <f t="shared" ref="U70:U81" si="1">S70*G70</f>
        <v>1053.405</v>
      </c>
    </row>
    <row r="71" spans="1:21" ht="15" customHeight="1" x14ac:dyDescent="0.3">
      <c r="A71" s="33">
        <v>66</v>
      </c>
      <c r="B71" s="46" t="s">
        <v>305</v>
      </c>
      <c r="C71" s="46">
        <v>2538497592</v>
      </c>
      <c r="D71" s="46" t="s">
        <v>298</v>
      </c>
      <c r="E71" s="46" t="s">
        <v>30</v>
      </c>
      <c r="F71" s="46" t="s">
        <v>304</v>
      </c>
      <c r="G71" s="47">
        <v>0.7</v>
      </c>
      <c r="H71" s="46" t="s">
        <v>243</v>
      </c>
      <c r="I71" s="46" t="s">
        <v>211</v>
      </c>
      <c r="J71" s="46"/>
      <c r="K71" s="46" t="s">
        <v>213</v>
      </c>
      <c r="L71" s="46" t="s">
        <v>212</v>
      </c>
      <c r="M71" s="46" t="s">
        <v>224</v>
      </c>
      <c r="N71" s="46">
        <v>6.36</v>
      </c>
      <c r="O71" s="46">
        <v>4</v>
      </c>
      <c r="P71" s="46">
        <v>2.76</v>
      </c>
      <c r="Q71" s="47">
        <v>68</v>
      </c>
      <c r="R71" s="47">
        <v>69.099999999999994</v>
      </c>
      <c r="S71" s="48">
        <v>1179.1200000000001</v>
      </c>
      <c r="T71" s="49"/>
      <c r="U71" s="40">
        <f t="shared" si="1"/>
        <v>825.38400000000001</v>
      </c>
    </row>
    <row r="72" spans="1:21" ht="15" customHeight="1" x14ac:dyDescent="0.3">
      <c r="A72" s="33">
        <v>67</v>
      </c>
      <c r="B72" s="46" t="s">
        <v>305</v>
      </c>
      <c r="C72" s="46">
        <v>6522861835</v>
      </c>
      <c r="D72" s="46" t="s">
        <v>298</v>
      </c>
      <c r="E72" s="46" t="s">
        <v>30</v>
      </c>
      <c r="F72" s="46" t="s">
        <v>304</v>
      </c>
      <c r="G72" s="47">
        <v>0.71</v>
      </c>
      <c r="H72" s="46" t="s">
        <v>243</v>
      </c>
      <c r="I72" s="46" t="s">
        <v>211</v>
      </c>
      <c r="J72" s="46"/>
      <c r="K72" s="46" t="s">
        <v>213</v>
      </c>
      <c r="L72" s="46" t="s">
        <v>213</v>
      </c>
      <c r="M72" s="46" t="s">
        <v>224</v>
      </c>
      <c r="N72" s="46">
        <v>6.24</v>
      </c>
      <c r="O72" s="46">
        <v>4.2300000000000004</v>
      </c>
      <c r="P72" s="46">
        <v>2.7</v>
      </c>
      <c r="Q72" s="47">
        <v>65</v>
      </c>
      <c r="R72" s="47">
        <v>63.8</v>
      </c>
      <c r="S72" s="48">
        <v>1196.46</v>
      </c>
      <c r="T72" s="49"/>
      <c r="U72" s="40">
        <f t="shared" si="1"/>
        <v>849.48659999999995</v>
      </c>
    </row>
    <row r="73" spans="1:21" ht="15" customHeight="1" x14ac:dyDescent="0.3">
      <c r="A73" s="33">
        <v>68</v>
      </c>
      <c r="B73" s="46" t="s">
        <v>305</v>
      </c>
      <c r="C73" s="46">
        <v>2537478180</v>
      </c>
      <c r="D73" s="46" t="s">
        <v>298</v>
      </c>
      <c r="E73" s="46" t="s">
        <v>30</v>
      </c>
      <c r="F73" s="46" t="s">
        <v>304</v>
      </c>
      <c r="G73" s="47">
        <v>0.7</v>
      </c>
      <c r="H73" s="46" t="s">
        <v>243</v>
      </c>
      <c r="I73" s="46" t="s">
        <v>299</v>
      </c>
      <c r="J73" s="46"/>
      <c r="K73" s="46" t="s">
        <v>213</v>
      </c>
      <c r="L73" s="46" t="s">
        <v>212</v>
      </c>
      <c r="M73" s="46" t="s">
        <v>220</v>
      </c>
      <c r="N73" s="46">
        <v>6.24</v>
      </c>
      <c r="O73" s="46">
        <v>4.24</v>
      </c>
      <c r="P73" s="46">
        <v>2.74</v>
      </c>
      <c r="Q73" s="47">
        <v>66</v>
      </c>
      <c r="R73" s="47">
        <v>64.599999999999994</v>
      </c>
      <c r="S73" s="48">
        <v>1226.55</v>
      </c>
      <c r="T73" s="49"/>
      <c r="U73" s="40">
        <f t="shared" si="1"/>
        <v>858.58499999999992</v>
      </c>
    </row>
    <row r="74" spans="1:21" ht="15" customHeight="1" x14ac:dyDescent="0.3">
      <c r="A74" s="33">
        <v>69</v>
      </c>
      <c r="B74" s="46" t="s">
        <v>305</v>
      </c>
      <c r="C74" s="46">
        <v>1236691955</v>
      </c>
      <c r="D74" s="46" t="s">
        <v>298</v>
      </c>
      <c r="E74" s="46" t="s">
        <v>30</v>
      </c>
      <c r="F74" s="46" t="s">
        <v>304</v>
      </c>
      <c r="G74" s="47">
        <v>0.72</v>
      </c>
      <c r="H74" s="46" t="s">
        <v>210</v>
      </c>
      <c r="I74" s="46" t="s">
        <v>211</v>
      </c>
      <c r="J74" s="46"/>
      <c r="K74" s="46" t="s">
        <v>213</v>
      </c>
      <c r="L74" s="46" t="s">
        <v>213</v>
      </c>
      <c r="M74" s="46" t="s">
        <v>224</v>
      </c>
      <c r="N74" s="46">
        <v>6.38</v>
      </c>
      <c r="O74" s="46">
        <v>4.08</v>
      </c>
      <c r="P74" s="46">
        <v>2.75</v>
      </c>
      <c r="Q74" s="47">
        <v>67</v>
      </c>
      <c r="R74" s="47">
        <v>67.400000000000006</v>
      </c>
      <c r="S74" s="48">
        <v>1132.6080000000002</v>
      </c>
      <c r="T74" s="49"/>
      <c r="U74" s="40">
        <f t="shared" si="1"/>
        <v>815.4777600000001</v>
      </c>
    </row>
    <row r="75" spans="1:21" ht="15" customHeight="1" x14ac:dyDescent="0.3">
      <c r="A75" s="33">
        <v>70</v>
      </c>
      <c r="B75" s="46" t="s">
        <v>305</v>
      </c>
      <c r="C75" s="46">
        <v>6535961138</v>
      </c>
      <c r="D75" s="46" t="s">
        <v>298</v>
      </c>
      <c r="E75" s="46" t="s">
        <v>30</v>
      </c>
      <c r="F75" s="46" t="s">
        <v>304</v>
      </c>
      <c r="G75" s="47">
        <v>0.7</v>
      </c>
      <c r="H75" s="46" t="s">
        <v>210</v>
      </c>
      <c r="I75" s="46" t="s">
        <v>211</v>
      </c>
      <c r="J75" s="46"/>
      <c r="K75" s="46" t="s">
        <v>213</v>
      </c>
      <c r="L75" s="46" t="s">
        <v>213</v>
      </c>
      <c r="M75" s="46" t="s">
        <v>224</v>
      </c>
      <c r="N75" s="46">
        <v>6.22</v>
      </c>
      <c r="O75" s="46">
        <v>4.16</v>
      </c>
      <c r="P75" s="46">
        <v>2.73</v>
      </c>
      <c r="Q75" s="47">
        <v>66</v>
      </c>
      <c r="R75" s="47">
        <v>65.599999999999994</v>
      </c>
      <c r="S75" s="48">
        <v>1207.0272</v>
      </c>
      <c r="T75" s="49"/>
      <c r="U75" s="40">
        <f t="shared" si="1"/>
        <v>844.91904</v>
      </c>
    </row>
    <row r="76" spans="1:21" ht="15" customHeight="1" x14ac:dyDescent="0.3">
      <c r="A76" s="33">
        <v>71</v>
      </c>
      <c r="B76" s="46" t="s">
        <v>305</v>
      </c>
      <c r="C76" s="46">
        <v>6522861825</v>
      </c>
      <c r="D76" s="46" t="s">
        <v>298</v>
      </c>
      <c r="E76" s="46" t="s">
        <v>30</v>
      </c>
      <c r="F76" s="46" t="s">
        <v>304</v>
      </c>
      <c r="G76" s="47">
        <v>0.73</v>
      </c>
      <c r="H76" s="46" t="s">
        <v>210</v>
      </c>
      <c r="I76" s="46" t="s">
        <v>300</v>
      </c>
      <c r="J76" s="46"/>
      <c r="K76" s="46" t="s">
        <v>213</v>
      </c>
      <c r="L76" s="46" t="s">
        <v>213</v>
      </c>
      <c r="M76" s="46" t="s">
        <v>220</v>
      </c>
      <c r="N76" s="46">
        <v>6.22</v>
      </c>
      <c r="O76" s="46">
        <v>4.22</v>
      </c>
      <c r="P76" s="46">
        <v>2.78</v>
      </c>
      <c r="Q76" s="47">
        <v>64</v>
      </c>
      <c r="R76" s="47">
        <v>65.8</v>
      </c>
      <c r="S76" s="48">
        <v>1224</v>
      </c>
      <c r="T76" s="49"/>
      <c r="U76" s="40">
        <f t="shared" si="1"/>
        <v>893.52</v>
      </c>
    </row>
    <row r="77" spans="1:21" ht="15" customHeight="1" x14ac:dyDescent="0.3">
      <c r="A77" s="33">
        <v>72</v>
      </c>
      <c r="B77" s="46" t="s">
        <v>305</v>
      </c>
      <c r="C77" s="46">
        <v>7531605386</v>
      </c>
      <c r="D77" s="46" t="s">
        <v>298</v>
      </c>
      <c r="E77" s="46" t="s">
        <v>30</v>
      </c>
      <c r="F77" s="46" t="s">
        <v>304</v>
      </c>
      <c r="G77" s="47">
        <v>0.8</v>
      </c>
      <c r="H77" s="46" t="s">
        <v>210</v>
      </c>
      <c r="I77" s="46" t="s">
        <v>299</v>
      </c>
      <c r="J77" s="46"/>
      <c r="K77" s="46" t="s">
        <v>213</v>
      </c>
      <c r="L77" s="46" t="s">
        <v>213</v>
      </c>
      <c r="M77" s="46" t="s">
        <v>220</v>
      </c>
      <c r="N77" s="46">
        <v>6.22</v>
      </c>
      <c r="O77" s="46">
        <v>4.4400000000000004</v>
      </c>
      <c r="P77" s="46">
        <v>2.92</v>
      </c>
      <c r="Q77" s="47">
        <v>66</v>
      </c>
      <c r="R77" s="47">
        <v>65.8</v>
      </c>
      <c r="S77" s="48">
        <v>1284.4859999999999</v>
      </c>
      <c r="T77" s="49"/>
      <c r="U77" s="40">
        <f t="shared" si="1"/>
        <v>1027.5888</v>
      </c>
    </row>
    <row r="78" spans="1:21" ht="15" customHeight="1" x14ac:dyDescent="0.3">
      <c r="A78" s="33">
        <v>73</v>
      </c>
      <c r="B78" s="46" t="s">
        <v>305</v>
      </c>
      <c r="C78" s="46">
        <v>1535516422</v>
      </c>
      <c r="D78" s="46" t="s">
        <v>298</v>
      </c>
      <c r="E78" s="46" t="s">
        <v>30</v>
      </c>
      <c r="F78" s="46" t="s">
        <v>304</v>
      </c>
      <c r="G78" s="47">
        <v>0.77</v>
      </c>
      <c r="H78" s="46" t="s">
        <v>210</v>
      </c>
      <c r="I78" s="46" t="s">
        <v>301</v>
      </c>
      <c r="J78" s="46"/>
      <c r="K78" s="46" t="s">
        <v>213</v>
      </c>
      <c r="L78" s="46" t="s">
        <v>212</v>
      </c>
      <c r="M78" s="46" t="s">
        <v>220</v>
      </c>
      <c r="N78" s="46">
        <v>6.25</v>
      </c>
      <c r="O78" s="46">
        <v>4.5</v>
      </c>
      <c r="P78" s="46">
        <v>2.99</v>
      </c>
      <c r="Q78" s="47">
        <v>66</v>
      </c>
      <c r="R78" s="47">
        <v>66.5</v>
      </c>
      <c r="S78" s="48">
        <v>1201.56</v>
      </c>
      <c r="T78" s="49"/>
      <c r="U78" s="40">
        <f t="shared" si="1"/>
        <v>925.20119999999997</v>
      </c>
    </row>
    <row r="79" spans="1:21" ht="15" customHeight="1" x14ac:dyDescent="0.3">
      <c r="A79" s="33">
        <v>74</v>
      </c>
      <c r="B79" s="46" t="s">
        <v>305</v>
      </c>
      <c r="C79" s="46">
        <v>5543221920</v>
      </c>
      <c r="D79" s="46" t="s">
        <v>298</v>
      </c>
      <c r="E79" s="46" t="s">
        <v>30</v>
      </c>
      <c r="F79" s="46" t="s">
        <v>304</v>
      </c>
      <c r="G79" s="47">
        <v>0.7</v>
      </c>
      <c r="H79" s="46" t="s">
        <v>220</v>
      </c>
      <c r="I79" s="46" t="s">
        <v>211</v>
      </c>
      <c r="J79" s="46"/>
      <c r="K79" s="46" t="s">
        <v>212</v>
      </c>
      <c r="L79" s="46" t="s">
        <v>212</v>
      </c>
      <c r="M79" s="46" t="s">
        <v>224</v>
      </c>
      <c r="N79" s="46">
        <v>6.37</v>
      </c>
      <c r="O79" s="46">
        <v>4.12</v>
      </c>
      <c r="P79" s="46">
        <v>2.6</v>
      </c>
      <c r="Q79" s="47">
        <v>67</v>
      </c>
      <c r="R79" s="47">
        <v>63.1</v>
      </c>
      <c r="S79" s="48">
        <v>1170.96</v>
      </c>
      <c r="T79" s="49"/>
      <c r="U79" s="40">
        <f t="shared" si="1"/>
        <v>819.67200000000003</v>
      </c>
    </row>
    <row r="80" spans="1:21" ht="15" customHeight="1" x14ac:dyDescent="0.3">
      <c r="A80" s="33">
        <v>75</v>
      </c>
      <c r="B80" s="46" t="s">
        <v>305</v>
      </c>
      <c r="C80" s="46">
        <v>2546142272</v>
      </c>
      <c r="D80" s="46" t="s">
        <v>298</v>
      </c>
      <c r="E80" s="46" t="s">
        <v>30</v>
      </c>
      <c r="F80" s="46" t="s">
        <v>304</v>
      </c>
      <c r="G80" s="47">
        <v>0.71</v>
      </c>
      <c r="H80" s="46" t="s">
        <v>210</v>
      </c>
      <c r="I80" s="46" t="s">
        <v>301</v>
      </c>
      <c r="J80" s="46"/>
      <c r="K80" s="46" t="s">
        <v>213</v>
      </c>
      <c r="L80" s="46" t="s">
        <v>212</v>
      </c>
      <c r="M80" s="46" t="s">
        <v>220</v>
      </c>
      <c r="N80" s="46">
        <v>6.21</v>
      </c>
      <c r="O80" s="46">
        <v>4.16</v>
      </c>
      <c r="P80" s="46">
        <v>2.75</v>
      </c>
      <c r="Q80" s="47">
        <v>63</v>
      </c>
      <c r="R80" s="47">
        <v>66.099999999999994</v>
      </c>
      <c r="S80" s="48">
        <v>1220.94</v>
      </c>
      <c r="T80" s="49"/>
      <c r="U80" s="40">
        <f t="shared" si="1"/>
        <v>866.86739999999998</v>
      </c>
    </row>
    <row r="81" spans="1:22" ht="15" customHeight="1" x14ac:dyDescent="0.3">
      <c r="A81" s="70">
        <v>76</v>
      </c>
      <c r="B81" s="71" t="s">
        <v>305</v>
      </c>
      <c r="C81" s="71">
        <v>6531393574</v>
      </c>
      <c r="D81" s="71" t="s">
        <v>298</v>
      </c>
      <c r="E81" s="71" t="s">
        <v>30</v>
      </c>
      <c r="F81" s="71" t="s">
        <v>304</v>
      </c>
      <c r="G81" s="72">
        <v>0.71</v>
      </c>
      <c r="H81" s="71" t="s">
        <v>220</v>
      </c>
      <c r="I81" s="71" t="s">
        <v>211</v>
      </c>
      <c r="J81" s="71"/>
      <c r="K81" s="71" t="s">
        <v>213</v>
      </c>
      <c r="L81" s="71" t="s">
        <v>213</v>
      </c>
      <c r="M81" s="71" t="s">
        <v>220</v>
      </c>
      <c r="N81" s="71">
        <v>6.31</v>
      </c>
      <c r="O81" s="71">
        <v>4.3099999999999996</v>
      </c>
      <c r="P81" s="71">
        <v>2.66</v>
      </c>
      <c r="Q81" s="72">
        <v>65</v>
      </c>
      <c r="R81" s="72">
        <v>61.7</v>
      </c>
      <c r="S81" s="73">
        <v>1121.6300000000001</v>
      </c>
      <c r="T81" s="74"/>
      <c r="U81" s="75">
        <f t="shared" si="1"/>
        <v>796.35730000000001</v>
      </c>
    </row>
    <row r="82" spans="1:22" ht="15" customHeight="1" x14ac:dyDescent="0.3">
      <c r="A82" s="76" t="s">
        <v>306</v>
      </c>
      <c r="B82" s="77"/>
      <c r="C82" s="77">
        <f>SUBTOTAL(103,Table2[Certificate])</f>
        <v>76</v>
      </c>
      <c r="D82" s="77"/>
      <c r="E82" s="77"/>
      <c r="F82" s="77"/>
      <c r="G82" s="78">
        <f>SUBTOTAL(109,Table2[Cts])</f>
        <v>61.83</v>
      </c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60"/>
      <c r="T82" s="60"/>
      <c r="U82" s="79">
        <f>SUBTOTAL(109,Table2[Total Cost $])</f>
        <v>98716.719188000017</v>
      </c>
      <c r="V82" s="110"/>
    </row>
    <row r="83" spans="1:22" ht="15" customHeight="1" x14ac:dyDescent="0.3">
      <c r="U83" s="32" t="s">
        <v>307</v>
      </c>
    </row>
  </sheetData>
  <mergeCells count="1">
    <mergeCell ref="A1:U1"/>
  </mergeCells>
  <pageMargins left="0.7" right="0.7" top="0.75" bottom="0.75" header="0.3" footer="0.3"/>
  <pageSetup paperSize="9" orientation="landscape" r:id="rId1"/>
  <ignoredErrors>
    <ignoredError sqref="U68:U81 U5:U49 U51:U66" unlockedFormula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02C12-D943-4B9F-96B8-4A6648B8F066}">
  <dimension ref="B2:G94"/>
  <sheetViews>
    <sheetView workbookViewId="0">
      <pane ySplit="3" topLeftCell="A88" activePane="bottomLeft" state="frozen"/>
      <selection pane="bottomLeft" activeCell="G94" sqref="G94"/>
    </sheetView>
  </sheetViews>
  <sheetFormatPr defaultRowHeight="16.05" customHeight="1" x14ac:dyDescent="0.3"/>
  <cols>
    <col min="1" max="1" width="2.33203125" style="1" customWidth="1"/>
    <col min="2" max="2" width="6" style="1" customWidth="1"/>
    <col min="3" max="3" width="25.109375" style="1" customWidth="1"/>
    <col min="4" max="4" width="11.88671875" style="1" customWidth="1"/>
    <col min="5" max="5" width="9.6640625" style="1" customWidth="1"/>
    <col min="6" max="6" width="11.33203125" style="1" customWidth="1"/>
    <col min="7" max="7" width="11.88671875" style="1" customWidth="1"/>
    <col min="8" max="16384" width="8.88671875" style="1"/>
  </cols>
  <sheetData>
    <row r="2" spans="2:7" ht="16.05" customHeight="1" x14ac:dyDescent="0.3">
      <c r="B2" s="206" t="s">
        <v>375</v>
      </c>
      <c r="C2" s="206"/>
      <c r="D2" s="206"/>
      <c r="E2" s="206"/>
      <c r="F2" s="206"/>
      <c r="G2" s="206"/>
    </row>
    <row r="3" spans="2:7" ht="16.05" customHeight="1" x14ac:dyDescent="0.3">
      <c r="B3" s="103" t="s">
        <v>0</v>
      </c>
      <c r="C3" s="104" t="s">
        <v>182</v>
      </c>
      <c r="D3" s="104" t="s">
        <v>15</v>
      </c>
      <c r="E3" s="104" t="s">
        <v>181</v>
      </c>
      <c r="F3" s="104" t="s">
        <v>183</v>
      </c>
      <c r="G3" s="105" t="s">
        <v>184</v>
      </c>
    </row>
    <row r="4" spans="2:7" ht="16.05" customHeight="1" x14ac:dyDescent="0.3">
      <c r="B4" s="83">
        <v>1</v>
      </c>
      <c r="C4" s="90" t="s">
        <v>311</v>
      </c>
      <c r="D4" s="85" t="s">
        <v>308</v>
      </c>
      <c r="E4" s="84">
        <v>10.32</v>
      </c>
      <c r="F4" s="106">
        <v>300</v>
      </c>
      <c r="G4" s="86">
        <f>Table3[[#This Row],[Per/ct]]*Table3[[#This Row],[Carats]]</f>
        <v>3096</v>
      </c>
    </row>
    <row r="5" spans="2:7" ht="16.05" customHeight="1" x14ac:dyDescent="0.3">
      <c r="B5" s="62"/>
      <c r="C5" s="91" t="s">
        <v>311</v>
      </c>
      <c r="D5" s="80" t="s">
        <v>40</v>
      </c>
      <c r="E5" s="46">
        <v>12.92</v>
      </c>
      <c r="F5" s="107">
        <v>350</v>
      </c>
      <c r="G5" s="86">
        <f>Table3[[#This Row],[Per/ct]]*Table3[[#This Row],[Carats]]</f>
        <v>4522</v>
      </c>
    </row>
    <row r="6" spans="2:7" ht="16.05" customHeight="1" x14ac:dyDescent="0.3">
      <c r="B6" s="62"/>
      <c r="C6" s="91" t="s">
        <v>311</v>
      </c>
      <c r="D6" s="80" t="s">
        <v>40</v>
      </c>
      <c r="E6" s="46">
        <v>1.05</v>
      </c>
      <c r="F6" s="107">
        <v>350</v>
      </c>
      <c r="G6" s="86">
        <f>Table3[[#This Row],[Per/ct]]*Table3[[#This Row],[Carats]]</f>
        <v>367.5</v>
      </c>
    </row>
    <row r="7" spans="2:7" ht="16.05" customHeight="1" x14ac:dyDescent="0.3">
      <c r="B7" s="62"/>
      <c r="C7" s="91" t="s">
        <v>311</v>
      </c>
      <c r="D7" s="80" t="s">
        <v>33</v>
      </c>
      <c r="E7" s="46">
        <v>5.94</v>
      </c>
      <c r="F7" s="107">
        <v>400</v>
      </c>
      <c r="G7" s="86">
        <f>Table3[[#This Row],[Per/ct]]*Table3[[#This Row],[Carats]]</f>
        <v>2376</v>
      </c>
    </row>
    <row r="8" spans="2:7" ht="16.05" customHeight="1" x14ac:dyDescent="0.3">
      <c r="B8" s="62"/>
      <c r="C8" s="91" t="s">
        <v>311</v>
      </c>
      <c r="D8" s="80" t="s">
        <v>31</v>
      </c>
      <c r="E8" s="47">
        <v>9.5</v>
      </c>
      <c r="F8" s="107">
        <v>450</v>
      </c>
      <c r="G8" s="86">
        <f>Table3[[#This Row],[Per/ct]]*Table3[[#This Row],[Carats]]</f>
        <v>4275</v>
      </c>
    </row>
    <row r="9" spans="2:7" ht="16.05" customHeight="1" x14ac:dyDescent="0.3">
      <c r="B9" s="62"/>
      <c r="C9" s="91" t="s">
        <v>311</v>
      </c>
      <c r="D9" s="80" t="s">
        <v>309</v>
      </c>
      <c r="E9" s="46">
        <v>5.49</v>
      </c>
      <c r="F9" s="107">
        <v>450</v>
      </c>
      <c r="G9" s="86">
        <f>Table3[[#This Row],[Per/ct]]*Table3[[#This Row],[Carats]]</f>
        <v>2470.5</v>
      </c>
    </row>
    <row r="10" spans="2:7" ht="16.05" customHeight="1" x14ac:dyDescent="0.3">
      <c r="B10" s="62"/>
      <c r="C10" s="91" t="s">
        <v>311</v>
      </c>
      <c r="D10" s="80" t="s">
        <v>310</v>
      </c>
      <c r="E10" s="46">
        <v>9.18</v>
      </c>
      <c r="F10" s="107">
        <v>500</v>
      </c>
      <c r="G10" s="86">
        <f>Table3[[#This Row],[Per/ct]]*Table3[[#This Row],[Carats]]</f>
        <v>4590</v>
      </c>
    </row>
    <row r="11" spans="2:7" ht="16.05" customHeight="1" x14ac:dyDescent="0.3">
      <c r="B11" s="62"/>
      <c r="C11" s="91"/>
      <c r="D11" s="80"/>
      <c r="E11" s="46"/>
      <c r="F11" s="107"/>
      <c r="G11" s="82"/>
    </row>
    <row r="12" spans="2:7" ht="16.05" customHeight="1" x14ac:dyDescent="0.3">
      <c r="B12" s="62">
        <v>2</v>
      </c>
      <c r="C12" s="91" t="s">
        <v>312</v>
      </c>
      <c r="D12" s="80" t="s">
        <v>308</v>
      </c>
      <c r="E12" s="46">
        <v>1.51</v>
      </c>
      <c r="F12" s="107">
        <v>250</v>
      </c>
      <c r="G12" s="86">
        <f>Table3[[#This Row],[Per/ct]]*Table3[[#This Row],[Carats]]</f>
        <v>377.5</v>
      </c>
    </row>
    <row r="13" spans="2:7" ht="16.05" customHeight="1" x14ac:dyDescent="0.3">
      <c r="B13" s="62"/>
      <c r="C13" s="91" t="s">
        <v>312</v>
      </c>
      <c r="D13" s="80" t="s">
        <v>40</v>
      </c>
      <c r="E13" s="46">
        <v>7.93</v>
      </c>
      <c r="F13" s="107">
        <v>400</v>
      </c>
      <c r="G13" s="86">
        <f>Table3[[#This Row],[Per/ct]]*Table3[[#This Row],[Carats]]</f>
        <v>3172</v>
      </c>
    </row>
    <row r="14" spans="2:7" ht="16.05" customHeight="1" x14ac:dyDescent="0.3">
      <c r="B14" s="62"/>
      <c r="C14" s="91" t="s">
        <v>312</v>
      </c>
      <c r="D14" s="80" t="s">
        <v>313</v>
      </c>
      <c r="E14" s="46">
        <v>16.260000000000002</v>
      </c>
      <c r="F14" s="107">
        <v>400</v>
      </c>
      <c r="G14" s="86">
        <f>Table3[[#This Row],[Per/ct]]*Table3[[#This Row],[Carats]]</f>
        <v>6504.0000000000009</v>
      </c>
    </row>
    <row r="15" spans="2:7" ht="16.05" customHeight="1" x14ac:dyDescent="0.3">
      <c r="B15" s="62"/>
      <c r="C15" s="91" t="s">
        <v>312</v>
      </c>
      <c r="D15" s="80" t="s">
        <v>22</v>
      </c>
      <c r="E15" s="46">
        <v>6.46</v>
      </c>
      <c r="F15" s="107">
        <v>400</v>
      </c>
      <c r="G15" s="86">
        <f>Table3[[#This Row],[Per/ct]]*Table3[[#This Row],[Carats]]</f>
        <v>2584</v>
      </c>
    </row>
    <row r="16" spans="2:7" ht="16.05" customHeight="1" x14ac:dyDescent="0.3">
      <c r="B16" s="62"/>
      <c r="C16" s="91" t="s">
        <v>312</v>
      </c>
      <c r="D16" s="80" t="s">
        <v>310</v>
      </c>
      <c r="E16" s="46">
        <v>6.82</v>
      </c>
      <c r="F16" s="107">
        <v>400</v>
      </c>
      <c r="G16" s="86">
        <f>Table3[[#This Row],[Per/ct]]*Table3[[#This Row],[Carats]]</f>
        <v>2728</v>
      </c>
    </row>
    <row r="17" spans="2:7" ht="16.05" customHeight="1" x14ac:dyDescent="0.3">
      <c r="B17" s="62"/>
      <c r="C17" s="91" t="s">
        <v>312</v>
      </c>
      <c r="D17" s="80" t="s">
        <v>242</v>
      </c>
      <c r="E17" s="47">
        <v>1.8</v>
      </c>
      <c r="F17" s="107">
        <v>600</v>
      </c>
      <c r="G17" s="86">
        <f>Table3[[#This Row],[Per/ct]]*Table3[[#This Row],[Carats]]</f>
        <v>1080</v>
      </c>
    </row>
    <row r="18" spans="2:7" ht="16.05" customHeight="1" x14ac:dyDescent="0.3">
      <c r="B18" s="62"/>
      <c r="C18" s="91"/>
      <c r="D18" s="80"/>
      <c r="E18" s="46"/>
      <c r="F18" s="107"/>
      <c r="G18" s="82"/>
    </row>
    <row r="19" spans="2:7" ht="16.05" customHeight="1" x14ac:dyDescent="0.3">
      <c r="B19" s="62">
        <v>3</v>
      </c>
      <c r="C19" s="91" t="s">
        <v>326</v>
      </c>
      <c r="D19" s="80" t="s">
        <v>315</v>
      </c>
      <c r="E19" s="46">
        <v>1.32</v>
      </c>
      <c r="F19" s="107">
        <v>400</v>
      </c>
      <c r="G19" s="86">
        <f>Table3[[#This Row],[Per/ct]]*Table3[[#This Row],[Carats]]</f>
        <v>528</v>
      </c>
    </row>
    <row r="20" spans="2:7" ht="16.05" customHeight="1" x14ac:dyDescent="0.3">
      <c r="B20" s="62"/>
      <c r="C20" s="91" t="s">
        <v>326</v>
      </c>
      <c r="D20" s="80" t="s">
        <v>316</v>
      </c>
      <c r="E20" s="46">
        <v>3.04</v>
      </c>
      <c r="F20" s="107">
        <v>400</v>
      </c>
      <c r="G20" s="86">
        <f>Table3[[#This Row],[Per/ct]]*Table3[[#This Row],[Carats]]</f>
        <v>1216</v>
      </c>
    </row>
    <row r="21" spans="2:7" ht="16.05" customHeight="1" x14ac:dyDescent="0.3">
      <c r="B21" s="62"/>
      <c r="C21" s="91" t="s">
        <v>326</v>
      </c>
      <c r="D21" s="80" t="s">
        <v>317</v>
      </c>
      <c r="E21" s="46">
        <v>3.35</v>
      </c>
      <c r="F21" s="107">
        <v>400</v>
      </c>
      <c r="G21" s="86">
        <f>Table3[[#This Row],[Per/ct]]*Table3[[#This Row],[Carats]]</f>
        <v>1340</v>
      </c>
    </row>
    <row r="22" spans="2:7" ht="16.05" customHeight="1" x14ac:dyDescent="0.3">
      <c r="B22" s="62"/>
      <c r="C22" s="91" t="s">
        <v>326</v>
      </c>
      <c r="D22" s="80" t="s">
        <v>318</v>
      </c>
      <c r="E22" s="46">
        <v>3.21</v>
      </c>
      <c r="F22" s="107">
        <v>400</v>
      </c>
      <c r="G22" s="86">
        <f>Table3[[#This Row],[Per/ct]]*Table3[[#This Row],[Carats]]</f>
        <v>1284</v>
      </c>
    </row>
    <row r="23" spans="2:7" ht="16.05" customHeight="1" x14ac:dyDescent="0.3">
      <c r="B23" s="62"/>
      <c r="C23" s="91" t="s">
        <v>326</v>
      </c>
      <c r="D23" s="80" t="s">
        <v>319</v>
      </c>
      <c r="E23" s="46">
        <v>3.18</v>
      </c>
      <c r="F23" s="107">
        <v>400</v>
      </c>
      <c r="G23" s="86">
        <f>Table3[[#This Row],[Per/ct]]*Table3[[#This Row],[Carats]]</f>
        <v>1272</v>
      </c>
    </row>
    <row r="24" spans="2:7" ht="16.05" customHeight="1" x14ac:dyDescent="0.3">
      <c r="B24" s="62"/>
      <c r="C24" s="91" t="s">
        <v>326</v>
      </c>
      <c r="D24" s="80" t="s">
        <v>320</v>
      </c>
      <c r="E24" s="47">
        <v>2.5</v>
      </c>
      <c r="F24" s="107">
        <v>400</v>
      </c>
      <c r="G24" s="86">
        <f>Table3[[#This Row],[Per/ct]]*Table3[[#This Row],[Carats]]</f>
        <v>1000</v>
      </c>
    </row>
    <row r="25" spans="2:7" ht="16.05" customHeight="1" x14ac:dyDescent="0.3">
      <c r="B25" s="62"/>
      <c r="C25" s="91" t="s">
        <v>326</v>
      </c>
      <c r="D25" s="80" t="s">
        <v>321</v>
      </c>
      <c r="E25" s="46">
        <v>2.98</v>
      </c>
      <c r="F25" s="107">
        <v>400</v>
      </c>
      <c r="G25" s="86">
        <f>Table3[[#This Row],[Per/ct]]*Table3[[#This Row],[Carats]]</f>
        <v>1192</v>
      </c>
    </row>
    <row r="26" spans="2:7" ht="16.05" customHeight="1" x14ac:dyDescent="0.3">
      <c r="B26" s="62"/>
      <c r="C26" s="91" t="s">
        <v>326</v>
      </c>
      <c r="D26" s="80" t="s">
        <v>322</v>
      </c>
      <c r="E26" s="46">
        <v>8.65</v>
      </c>
      <c r="F26" s="107">
        <v>400</v>
      </c>
      <c r="G26" s="86">
        <f>Table3[[#This Row],[Per/ct]]*Table3[[#This Row],[Carats]]</f>
        <v>3460</v>
      </c>
    </row>
    <row r="27" spans="2:7" ht="16.05" customHeight="1" x14ac:dyDescent="0.3">
      <c r="B27" s="62"/>
      <c r="C27" s="91"/>
      <c r="D27" s="80"/>
      <c r="E27" s="46"/>
      <c r="F27" s="107"/>
      <c r="G27" s="82"/>
    </row>
    <row r="28" spans="2:7" ht="16.05" customHeight="1" x14ac:dyDescent="0.3">
      <c r="B28" s="62">
        <v>4</v>
      </c>
      <c r="C28" s="91" t="s">
        <v>323</v>
      </c>
      <c r="D28" s="80" t="s">
        <v>324</v>
      </c>
      <c r="E28" s="46">
        <v>0.81</v>
      </c>
      <c r="F28" s="107">
        <v>1065</v>
      </c>
      <c r="G28" s="86">
        <f>Table3[[#This Row],[Per/ct]]*Table3[[#This Row],[Carats]]</f>
        <v>862.65000000000009</v>
      </c>
    </row>
    <row r="29" spans="2:7" ht="16.05" customHeight="1" x14ac:dyDescent="0.3">
      <c r="B29" s="62"/>
      <c r="C29" s="91" t="s">
        <v>207</v>
      </c>
      <c r="D29" s="80" t="s">
        <v>33</v>
      </c>
      <c r="E29" s="46">
        <v>8.74</v>
      </c>
      <c r="F29" s="107">
        <v>500</v>
      </c>
      <c r="G29" s="86">
        <f>Table3[[#This Row],[Per/ct]]*Table3[[#This Row],[Carats]]</f>
        <v>4370</v>
      </c>
    </row>
    <row r="30" spans="2:7" ht="16.05" customHeight="1" x14ac:dyDescent="0.3">
      <c r="B30" s="62"/>
      <c r="C30" s="91" t="s">
        <v>207</v>
      </c>
      <c r="D30" s="80" t="s">
        <v>325</v>
      </c>
      <c r="E30" s="46">
        <v>4.43</v>
      </c>
      <c r="F30" s="107">
        <v>400</v>
      </c>
      <c r="G30" s="86">
        <f>Table3[[#This Row],[Per/ct]]*Table3[[#This Row],[Carats]]</f>
        <v>1772</v>
      </c>
    </row>
    <row r="31" spans="2:7" ht="16.05" customHeight="1" x14ac:dyDescent="0.3">
      <c r="B31" s="62"/>
      <c r="C31" s="91"/>
      <c r="D31" s="80"/>
      <c r="E31" s="46"/>
      <c r="F31" s="107"/>
      <c r="G31" s="82"/>
    </row>
    <row r="32" spans="2:7" ht="16.05" customHeight="1" x14ac:dyDescent="0.3">
      <c r="B32" s="62">
        <v>5</v>
      </c>
      <c r="C32" s="91" t="s">
        <v>327</v>
      </c>
      <c r="D32" s="80" t="s">
        <v>31</v>
      </c>
      <c r="E32" s="46">
        <v>11.08</v>
      </c>
      <c r="F32" s="107">
        <v>500</v>
      </c>
      <c r="G32" s="86">
        <f>Table3[[#This Row],[Per/ct]]*Table3[[#This Row],[Carats]]</f>
        <v>5540</v>
      </c>
    </row>
    <row r="33" spans="2:7" ht="16.05" customHeight="1" x14ac:dyDescent="0.3">
      <c r="B33" s="62"/>
      <c r="C33" s="91" t="s">
        <v>327</v>
      </c>
      <c r="D33" s="80" t="s">
        <v>33</v>
      </c>
      <c r="E33" s="46">
        <v>1.47</v>
      </c>
      <c r="F33" s="107">
        <v>500</v>
      </c>
      <c r="G33" s="86">
        <f>Table3[[#This Row],[Per/ct]]*Table3[[#This Row],[Carats]]</f>
        <v>735</v>
      </c>
    </row>
    <row r="34" spans="2:7" ht="16.05" customHeight="1" x14ac:dyDescent="0.3">
      <c r="B34" s="62"/>
      <c r="C34" s="91" t="s">
        <v>328</v>
      </c>
      <c r="D34" s="80" t="s">
        <v>329</v>
      </c>
      <c r="E34" s="46">
        <v>5.97</v>
      </c>
      <c r="F34" s="107">
        <v>450</v>
      </c>
      <c r="G34" s="86">
        <f>Table3[[#This Row],[Per/ct]]*Table3[[#This Row],[Carats]]</f>
        <v>2686.5</v>
      </c>
    </row>
    <row r="35" spans="2:7" ht="16.05" customHeight="1" x14ac:dyDescent="0.3">
      <c r="B35" s="62"/>
      <c r="C35" s="91" t="s">
        <v>207</v>
      </c>
      <c r="D35" s="80" t="s">
        <v>330</v>
      </c>
      <c r="E35" s="46">
        <v>5.72</v>
      </c>
      <c r="F35" s="107">
        <v>330</v>
      </c>
      <c r="G35" s="86">
        <f>Table3[[#This Row],[Per/ct]]*Table3[[#This Row],[Carats]]</f>
        <v>1887.6</v>
      </c>
    </row>
    <row r="36" spans="2:7" ht="16.05" customHeight="1" x14ac:dyDescent="0.3">
      <c r="B36" s="62"/>
      <c r="C36" s="91"/>
      <c r="D36" s="80"/>
      <c r="E36" s="46"/>
      <c r="F36" s="107"/>
      <c r="G36" s="82"/>
    </row>
    <row r="37" spans="2:7" ht="16.05" customHeight="1" x14ac:dyDescent="0.3">
      <c r="B37" s="62">
        <v>6</v>
      </c>
      <c r="C37" s="91" t="s">
        <v>331</v>
      </c>
      <c r="D37" s="80" t="s">
        <v>332</v>
      </c>
      <c r="E37" s="46">
        <v>1.48</v>
      </c>
      <c r="F37" s="107">
        <v>200</v>
      </c>
      <c r="G37" s="86">
        <f>Table3[[#This Row],[Per/ct]]*Table3[[#This Row],[Carats]]</f>
        <v>296</v>
      </c>
    </row>
    <row r="38" spans="2:7" ht="16.05" customHeight="1" x14ac:dyDescent="0.3">
      <c r="B38" s="62"/>
      <c r="C38" s="91" t="s">
        <v>331</v>
      </c>
      <c r="D38" s="80" t="s">
        <v>333</v>
      </c>
      <c r="E38" s="46">
        <v>1.42</v>
      </c>
      <c r="F38" s="107">
        <v>200</v>
      </c>
      <c r="G38" s="86">
        <f>Table3[[#This Row],[Per/ct]]*Table3[[#This Row],[Carats]]</f>
        <v>284</v>
      </c>
    </row>
    <row r="39" spans="2:7" ht="16.05" customHeight="1" x14ac:dyDescent="0.3">
      <c r="B39" s="62"/>
      <c r="C39" s="91" t="s">
        <v>331</v>
      </c>
      <c r="D39" s="80" t="s">
        <v>334</v>
      </c>
      <c r="E39" s="46">
        <v>0.87</v>
      </c>
      <c r="F39" s="107">
        <v>200</v>
      </c>
      <c r="G39" s="86">
        <f>Table3[[#This Row],[Per/ct]]*Table3[[#This Row],[Carats]]</f>
        <v>174</v>
      </c>
    </row>
    <row r="40" spans="2:7" ht="16.05" customHeight="1" x14ac:dyDescent="0.3">
      <c r="B40" s="62"/>
      <c r="C40" s="91" t="s">
        <v>331</v>
      </c>
      <c r="D40" s="80" t="s">
        <v>335</v>
      </c>
      <c r="E40" s="46">
        <v>2.58</v>
      </c>
      <c r="F40" s="107">
        <v>200</v>
      </c>
      <c r="G40" s="86">
        <f>Table3[[#This Row],[Per/ct]]*Table3[[#This Row],[Carats]]</f>
        <v>516</v>
      </c>
    </row>
    <row r="41" spans="2:7" ht="16.05" customHeight="1" x14ac:dyDescent="0.3">
      <c r="B41" s="62"/>
      <c r="C41" s="91" t="s">
        <v>331</v>
      </c>
      <c r="D41" s="80" t="s">
        <v>336</v>
      </c>
      <c r="E41" s="46">
        <v>1.52</v>
      </c>
      <c r="F41" s="107">
        <v>200</v>
      </c>
      <c r="G41" s="86">
        <f>Table3[[#This Row],[Per/ct]]*Table3[[#This Row],[Carats]]</f>
        <v>304</v>
      </c>
    </row>
    <row r="42" spans="2:7" ht="16.05" customHeight="1" x14ac:dyDescent="0.3">
      <c r="B42" s="62"/>
      <c r="C42" s="91" t="s">
        <v>331</v>
      </c>
      <c r="D42" s="80" t="s">
        <v>337</v>
      </c>
      <c r="E42" s="46">
        <v>2.4700000000000002</v>
      </c>
      <c r="F42" s="107">
        <v>200</v>
      </c>
      <c r="G42" s="86">
        <f>Table3[[#This Row],[Per/ct]]*Table3[[#This Row],[Carats]]</f>
        <v>494.00000000000006</v>
      </c>
    </row>
    <row r="43" spans="2:7" ht="16.05" customHeight="1" x14ac:dyDescent="0.3">
      <c r="B43" s="62"/>
      <c r="C43" s="91" t="s">
        <v>331</v>
      </c>
      <c r="D43" s="80" t="s">
        <v>338</v>
      </c>
      <c r="E43" s="46">
        <v>2.86</v>
      </c>
      <c r="F43" s="107">
        <v>200</v>
      </c>
      <c r="G43" s="86">
        <f>Table3[[#This Row],[Per/ct]]*Table3[[#This Row],[Carats]]</f>
        <v>572</v>
      </c>
    </row>
    <row r="44" spans="2:7" ht="16.05" customHeight="1" x14ac:dyDescent="0.3">
      <c r="B44" s="62"/>
      <c r="C44" s="91" t="s">
        <v>331</v>
      </c>
      <c r="D44" s="80" t="s">
        <v>339</v>
      </c>
      <c r="E44" s="46">
        <v>0.99</v>
      </c>
      <c r="F44" s="107">
        <v>200</v>
      </c>
      <c r="G44" s="86">
        <f>Table3[[#This Row],[Per/ct]]*Table3[[#This Row],[Carats]]</f>
        <v>198</v>
      </c>
    </row>
    <row r="45" spans="2:7" ht="16.05" customHeight="1" x14ac:dyDescent="0.3">
      <c r="B45" s="62"/>
      <c r="C45" s="91" t="s">
        <v>331</v>
      </c>
      <c r="D45" s="80" t="s">
        <v>340</v>
      </c>
      <c r="E45" s="47">
        <v>0.8</v>
      </c>
      <c r="F45" s="107">
        <v>200</v>
      </c>
      <c r="G45" s="86">
        <f>Table3[[#This Row],[Per/ct]]*Table3[[#This Row],[Carats]]</f>
        <v>160</v>
      </c>
    </row>
    <row r="46" spans="2:7" ht="16.05" customHeight="1" x14ac:dyDescent="0.3">
      <c r="B46" s="62"/>
      <c r="C46" s="91" t="s">
        <v>331</v>
      </c>
      <c r="D46" s="46" t="s">
        <v>341</v>
      </c>
      <c r="E46" s="46">
        <v>2.72</v>
      </c>
      <c r="F46" s="107">
        <v>200</v>
      </c>
      <c r="G46" s="86">
        <f>Table3[[#This Row],[Per/ct]]*Table3[[#This Row],[Carats]]</f>
        <v>544</v>
      </c>
    </row>
    <row r="47" spans="2:7" ht="16.05" customHeight="1" x14ac:dyDescent="0.3">
      <c r="B47" s="62"/>
      <c r="C47" s="91" t="s">
        <v>331</v>
      </c>
      <c r="D47" s="46" t="s">
        <v>342</v>
      </c>
      <c r="E47" s="46">
        <v>2.98</v>
      </c>
      <c r="F47" s="107">
        <v>200</v>
      </c>
      <c r="G47" s="86">
        <f>Table3[[#This Row],[Per/ct]]*Table3[[#This Row],[Carats]]</f>
        <v>596</v>
      </c>
    </row>
    <row r="48" spans="2:7" ht="16.05" customHeight="1" x14ac:dyDescent="0.3">
      <c r="B48" s="62"/>
      <c r="C48" s="91" t="s">
        <v>331</v>
      </c>
      <c r="D48" s="46" t="s">
        <v>343</v>
      </c>
      <c r="E48" s="46">
        <v>4.6500000000000004</v>
      </c>
      <c r="F48" s="107">
        <v>200</v>
      </c>
      <c r="G48" s="86">
        <f>Table3[[#This Row],[Per/ct]]*Table3[[#This Row],[Carats]]</f>
        <v>930.00000000000011</v>
      </c>
    </row>
    <row r="49" spans="2:7" ht="16.05" customHeight="1" x14ac:dyDescent="0.3">
      <c r="B49" s="62"/>
      <c r="C49" s="91" t="s">
        <v>331</v>
      </c>
      <c r="D49" s="46" t="s">
        <v>344</v>
      </c>
      <c r="E49" s="46">
        <v>3.16</v>
      </c>
      <c r="F49" s="107">
        <v>200</v>
      </c>
      <c r="G49" s="86">
        <f>Table3[[#This Row],[Per/ct]]*Table3[[#This Row],[Carats]]</f>
        <v>632</v>
      </c>
    </row>
    <row r="50" spans="2:7" ht="16.05" customHeight="1" x14ac:dyDescent="0.3">
      <c r="B50" s="62"/>
      <c r="C50" s="91"/>
      <c r="D50" s="46"/>
      <c r="E50" s="46"/>
      <c r="F50" s="107"/>
      <c r="G50" s="82"/>
    </row>
    <row r="51" spans="2:7" ht="16.05" customHeight="1" x14ac:dyDescent="0.3">
      <c r="B51" s="62">
        <v>7</v>
      </c>
      <c r="C51" s="91" t="s">
        <v>370</v>
      </c>
      <c r="D51" s="80" t="s">
        <v>40</v>
      </c>
      <c r="E51" s="46">
        <v>2.72</v>
      </c>
      <c r="F51" s="107">
        <v>400</v>
      </c>
      <c r="G51" s="86">
        <f>Table3[[#This Row],[Per/ct]]*Table3[[#This Row],[Carats]]</f>
        <v>1088</v>
      </c>
    </row>
    <row r="52" spans="2:7" ht="16.05" customHeight="1" x14ac:dyDescent="0.3">
      <c r="B52" s="62"/>
      <c r="C52" s="91" t="s">
        <v>370</v>
      </c>
      <c r="D52" s="80" t="s">
        <v>345</v>
      </c>
      <c r="E52" s="46">
        <v>2.34</v>
      </c>
      <c r="F52" s="107">
        <v>475</v>
      </c>
      <c r="G52" s="86">
        <f>Table3[[#This Row],[Per/ct]]*Table3[[#This Row],[Carats]]</f>
        <v>1111.5</v>
      </c>
    </row>
    <row r="53" spans="2:7" ht="16.05" customHeight="1" x14ac:dyDescent="0.3">
      <c r="B53" s="62"/>
      <c r="C53" s="91" t="s">
        <v>370</v>
      </c>
      <c r="D53" s="80" t="s">
        <v>346</v>
      </c>
      <c r="E53" s="47">
        <v>7.5</v>
      </c>
      <c r="F53" s="107">
        <v>525</v>
      </c>
      <c r="G53" s="86">
        <f>Table3[[#This Row],[Per/ct]]*Table3[[#This Row],[Carats]]</f>
        <v>3937.5</v>
      </c>
    </row>
    <row r="54" spans="2:7" ht="16.05" customHeight="1" x14ac:dyDescent="0.3">
      <c r="B54" s="62"/>
      <c r="C54" s="91" t="s">
        <v>370</v>
      </c>
      <c r="D54" s="80" t="s">
        <v>347</v>
      </c>
      <c r="E54" s="46">
        <v>8.74</v>
      </c>
      <c r="F54" s="107">
        <v>525</v>
      </c>
      <c r="G54" s="86">
        <f>Table3[[#This Row],[Per/ct]]*Table3[[#This Row],[Carats]]</f>
        <v>4588.5</v>
      </c>
    </row>
    <row r="55" spans="2:7" ht="16.05" customHeight="1" x14ac:dyDescent="0.3">
      <c r="B55" s="62"/>
      <c r="C55" s="91" t="s">
        <v>370</v>
      </c>
      <c r="D55" s="80" t="s">
        <v>348</v>
      </c>
      <c r="E55" s="47">
        <v>8.8000000000000007</v>
      </c>
      <c r="F55" s="107">
        <v>575</v>
      </c>
      <c r="G55" s="86">
        <f>Table3[[#This Row],[Per/ct]]*Table3[[#This Row],[Carats]]</f>
        <v>5060</v>
      </c>
    </row>
    <row r="56" spans="2:7" ht="16.05" customHeight="1" x14ac:dyDescent="0.3">
      <c r="B56" s="62"/>
      <c r="C56" s="91" t="s">
        <v>370</v>
      </c>
      <c r="D56" s="80" t="s">
        <v>349</v>
      </c>
      <c r="E56" s="46">
        <v>5.96</v>
      </c>
      <c r="F56" s="107">
        <v>575</v>
      </c>
      <c r="G56" s="86">
        <f>Table3[[#This Row],[Per/ct]]*Table3[[#This Row],[Carats]]</f>
        <v>3427</v>
      </c>
    </row>
    <row r="57" spans="2:7" ht="16.05" customHeight="1" x14ac:dyDescent="0.3">
      <c r="B57" s="62"/>
      <c r="C57" s="91"/>
      <c r="D57" s="80"/>
      <c r="E57" s="46"/>
      <c r="F57" s="107"/>
      <c r="G57" s="82"/>
    </row>
    <row r="58" spans="2:7" ht="16.05" customHeight="1" x14ac:dyDescent="0.3">
      <c r="B58" s="62">
        <v>8</v>
      </c>
      <c r="C58" s="91" t="s">
        <v>350</v>
      </c>
      <c r="D58" s="80" t="s">
        <v>351</v>
      </c>
      <c r="E58" s="46">
        <v>3.18</v>
      </c>
      <c r="F58" s="107">
        <v>250</v>
      </c>
      <c r="G58" s="86">
        <f>Table3[[#This Row],[Per/ct]]*Table3[[#This Row],[Carats]]</f>
        <v>795</v>
      </c>
    </row>
    <row r="59" spans="2:7" ht="16.05" customHeight="1" x14ac:dyDescent="0.3">
      <c r="B59" s="62"/>
      <c r="C59" s="91" t="s">
        <v>350</v>
      </c>
      <c r="D59" s="80" t="s">
        <v>352</v>
      </c>
      <c r="E59" s="46">
        <v>10.52</v>
      </c>
      <c r="F59" s="107">
        <v>350</v>
      </c>
      <c r="G59" s="86">
        <f>Table3[[#This Row],[Per/ct]]*Table3[[#This Row],[Carats]]</f>
        <v>3682</v>
      </c>
    </row>
    <row r="60" spans="2:7" ht="16.05" customHeight="1" x14ac:dyDescent="0.3">
      <c r="B60" s="62"/>
      <c r="C60" s="91" t="s">
        <v>350</v>
      </c>
      <c r="D60" s="80" t="s">
        <v>31</v>
      </c>
      <c r="E60" s="46">
        <v>7.08</v>
      </c>
      <c r="F60" s="107">
        <v>350</v>
      </c>
      <c r="G60" s="86">
        <f>Table3[[#This Row],[Per/ct]]*Table3[[#This Row],[Carats]]</f>
        <v>2478</v>
      </c>
    </row>
    <row r="61" spans="2:7" ht="16.05" customHeight="1" x14ac:dyDescent="0.3">
      <c r="B61" s="62"/>
      <c r="C61" s="91" t="s">
        <v>350</v>
      </c>
      <c r="D61" s="80" t="s">
        <v>22</v>
      </c>
      <c r="E61" s="46">
        <v>18.010000000000002</v>
      </c>
      <c r="F61" s="107">
        <v>500</v>
      </c>
      <c r="G61" s="86">
        <f>Table3[[#This Row],[Per/ct]]*Table3[[#This Row],[Carats]]</f>
        <v>9005</v>
      </c>
    </row>
    <row r="62" spans="2:7" ht="16.05" customHeight="1" x14ac:dyDescent="0.3">
      <c r="B62" s="62"/>
      <c r="C62" s="91" t="s">
        <v>350</v>
      </c>
      <c r="D62" s="80" t="s">
        <v>353</v>
      </c>
      <c r="E62" s="47">
        <v>20.100000000000001</v>
      </c>
      <c r="F62" s="107">
        <v>600</v>
      </c>
      <c r="G62" s="86">
        <f>Table3[[#This Row],[Per/ct]]*Table3[[#This Row],[Carats]]</f>
        <v>12060</v>
      </c>
    </row>
    <row r="63" spans="2:7" ht="16.05" customHeight="1" x14ac:dyDescent="0.3">
      <c r="B63" s="62"/>
      <c r="C63" s="91" t="s">
        <v>350</v>
      </c>
      <c r="D63" s="80" t="s">
        <v>354</v>
      </c>
      <c r="E63" s="46">
        <v>4.26</v>
      </c>
      <c r="F63" s="107">
        <v>675</v>
      </c>
      <c r="G63" s="86">
        <f>Table3[[#This Row],[Per/ct]]*Table3[[#This Row],[Carats]]</f>
        <v>2875.5</v>
      </c>
    </row>
    <row r="64" spans="2:7" ht="16.05" customHeight="1" x14ac:dyDescent="0.3">
      <c r="B64" s="62"/>
      <c r="C64" s="91" t="s">
        <v>350</v>
      </c>
      <c r="D64" s="80" t="s">
        <v>355</v>
      </c>
      <c r="E64" s="46">
        <v>6.37</v>
      </c>
      <c r="F64" s="107">
        <v>850</v>
      </c>
      <c r="G64" s="86">
        <f>Table3[[#This Row],[Per/ct]]*Table3[[#This Row],[Carats]]</f>
        <v>5414.5</v>
      </c>
    </row>
    <row r="65" spans="2:7" ht="16.05" customHeight="1" x14ac:dyDescent="0.3">
      <c r="B65" s="62"/>
      <c r="C65" s="91"/>
      <c r="D65" s="80"/>
      <c r="E65" s="46"/>
      <c r="F65" s="107"/>
      <c r="G65" s="82"/>
    </row>
    <row r="66" spans="2:7" ht="16.05" customHeight="1" x14ac:dyDescent="0.3">
      <c r="B66" s="62">
        <v>9</v>
      </c>
      <c r="C66" s="91" t="s">
        <v>356</v>
      </c>
      <c r="D66" s="80" t="s">
        <v>22</v>
      </c>
      <c r="E66" s="46">
        <v>3.78</v>
      </c>
      <c r="F66" s="107">
        <v>750</v>
      </c>
      <c r="G66" s="86">
        <f>Table3[[#This Row],[Per/ct]]*Table3[[#This Row],[Carats]]</f>
        <v>2835</v>
      </c>
    </row>
    <row r="67" spans="2:7" ht="16.05" customHeight="1" x14ac:dyDescent="0.3">
      <c r="B67" s="62"/>
      <c r="C67" s="91" t="s">
        <v>356</v>
      </c>
      <c r="D67" s="80" t="s">
        <v>31</v>
      </c>
      <c r="E67" s="46">
        <v>3.56</v>
      </c>
      <c r="F67" s="107">
        <v>650</v>
      </c>
      <c r="G67" s="86">
        <f>Table3[[#This Row],[Per/ct]]*Table3[[#This Row],[Carats]]</f>
        <v>2314</v>
      </c>
    </row>
    <row r="68" spans="2:7" ht="16.05" customHeight="1" x14ac:dyDescent="0.3">
      <c r="B68" s="62"/>
      <c r="C68" s="91" t="s">
        <v>356</v>
      </c>
      <c r="D68" s="80" t="s">
        <v>51</v>
      </c>
      <c r="E68" s="46">
        <v>2.5499999999999998</v>
      </c>
      <c r="F68" s="107">
        <v>450</v>
      </c>
      <c r="G68" s="86">
        <f>Table3[[#This Row],[Per/ct]]*Table3[[#This Row],[Carats]]</f>
        <v>1147.5</v>
      </c>
    </row>
    <row r="69" spans="2:7" ht="16.05" customHeight="1" x14ac:dyDescent="0.3">
      <c r="B69" s="62"/>
      <c r="C69" s="91" t="s">
        <v>356</v>
      </c>
      <c r="D69" s="80" t="s">
        <v>357</v>
      </c>
      <c r="E69" s="47">
        <v>8.27</v>
      </c>
      <c r="F69" s="107">
        <v>450</v>
      </c>
      <c r="G69" s="86">
        <f>Table3[[#This Row],[Per/ct]]*Table3[[#This Row],[Carats]]</f>
        <v>3721.5</v>
      </c>
    </row>
    <row r="70" spans="2:7" ht="16.05" customHeight="1" x14ac:dyDescent="0.3">
      <c r="B70" s="62"/>
      <c r="C70" s="91"/>
      <c r="D70" s="80"/>
      <c r="E70" s="46"/>
      <c r="F70" s="107"/>
      <c r="G70" s="82"/>
    </row>
    <row r="71" spans="2:7" ht="16.05" customHeight="1" x14ac:dyDescent="0.3">
      <c r="B71" s="62">
        <v>10</v>
      </c>
      <c r="C71" s="91" t="s">
        <v>356</v>
      </c>
      <c r="D71" s="80"/>
      <c r="E71" s="46">
        <v>7.26</v>
      </c>
      <c r="F71" s="107">
        <v>125</v>
      </c>
      <c r="G71" s="86">
        <f>Table3[[#This Row],[Per/ct]]*Table3[[#This Row],[Carats]]</f>
        <v>907.5</v>
      </c>
    </row>
    <row r="72" spans="2:7" ht="16.05" customHeight="1" x14ac:dyDescent="0.3">
      <c r="B72" s="62"/>
      <c r="C72" s="91" t="s">
        <v>356</v>
      </c>
      <c r="D72" s="80"/>
      <c r="E72" s="46">
        <v>16.87</v>
      </c>
      <c r="F72" s="107">
        <v>125</v>
      </c>
      <c r="G72" s="86">
        <f>Table3[[#This Row],[Per/ct]]*Table3[[#This Row],[Carats]]</f>
        <v>2108.75</v>
      </c>
    </row>
    <row r="73" spans="2:7" ht="16.05" customHeight="1" x14ac:dyDescent="0.3">
      <c r="B73" s="62"/>
      <c r="C73" s="91" t="s">
        <v>356</v>
      </c>
      <c r="D73" s="80"/>
      <c r="E73" s="46">
        <v>7.61</v>
      </c>
      <c r="F73" s="107">
        <v>125</v>
      </c>
      <c r="G73" s="86">
        <f>Table3[[#This Row],[Per/ct]]*Table3[[#This Row],[Carats]]</f>
        <v>951.25</v>
      </c>
    </row>
    <row r="74" spans="2:7" ht="16.05" customHeight="1" x14ac:dyDescent="0.3">
      <c r="B74" s="62"/>
      <c r="C74" s="91" t="s">
        <v>356</v>
      </c>
      <c r="D74" s="80"/>
      <c r="E74" s="46">
        <v>2.27</v>
      </c>
      <c r="F74" s="107">
        <v>125</v>
      </c>
      <c r="G74" s="86">
        <f>Table3[[#This Row],[Per/ct]]*Table3[[#This Row],[Carats]]</f>
        <v>283.75</v>
      </c>
    </row>
    <row r="75" spans="2:7" ht="16.05" customHeight="1" x14ac:dyDescent="0.3">
      <c r="B75" s="62"/>
      <c r="C75" s="91" t="s">
        <v>356</v>
      </c>
      <c r="D75" s="80"/>
      <c r="E75" s="46">
        <v>10.01</v>
      </c>
      <c r="F75" s="107">
        <v>125</v>
      </c>
      <c r="G75" s="86">
        <f>Table3[[#This Row],[Per/ct]]*Table3[[#This Row],[Carats]]</f>
        <v>1251.25</v>
      </c>
    </row>
    <row r="76" spans="2:7" ht="16.05" customHeight="1" x14ac:dyDescent="0.3">
      <c r="B76" s="62"/>
      <c r="C76" s="91"/>
      <c r="D76" s="80"/>
      <c r="E76" s="46"/>
      <c r="F76" s="107"/>
      <c r="G76" s="86"/>
    </row>
    <row r="77" spans="2:7" ht="16.05" customHeight="1" x14ac:dyDescent="0.3">
      <c r="B77" s="62">
        <v>11</v>
      </c>
      <c r="C77" s="91" t="s">
        <v>358</v>
      </c>
      <c r="D77" s="80"/>
      <c r="E77" s="46">
        <v>7.63</v>
      </c>
      <c r="F77" s="107">
        <v>350</v>
      </c>
      <c r="G77" s="86">
        <f>Table3[[#This Row],[Per/ct]]*Table3[[#This Row],[Carats]]</f>
        <v>2670.5</v>
      </c>
    </row>
    <row r="78" spans="2:7" ht="16.05" customHeight="1" x14ac:dyDescent="0.3">
      <c r="B78" s="62"/>
      <c r="C78" s="91" t="s">
        <v>359</v>
      </c>
      <c r="D78" s="80"/>
      <c r="E78" s="46">
        <v>13.23</v>
      </c>
      <c r="F78" s="107">
        <v>350</v>
      </c>
      <c r="G78" s="86">
        <f>Table3[[#This Row],[Per/ct]]*Table3[[#This Row],[Carats]]</f>
        <v>4630.5</v>
      </c>
    </row>
    <row r="79" spans="2:7" ht="16.05" customHeight="1" x14ac:dyDescent="0.3">
      <c r="B79" s="62"/>
      <c r="C79" s="91" t="s">
        <v>360</v>
      </c>
      <c r="D79" s="80"/>
      <c r="E79" s="46">
        <v>14.08</v>
      </c>
      <c r="F79" s="107">
        <v>350</v>
      </c>
      <c r="G79" s="86">
        <f>Table3[[#This Row],[Per/ct]]*Table3[[#This Row],[Carats]]</f>
        <v>4928</v>
      </c>
    </row>
    <row r="80" spans="2:7" ht="16.05" customHeight="1" x14ac:dyDescent="0.3">
      <c r="B80" s="62"/>
      <c r="C80" s="91" t="s">
        <v>361</v>
      </c>
      <c r="D80" s="80"/>
      <c r="E80" s="46">
        <v>10.48</v>
      </c>
      <c r="F80" s="107">
        <v>200</v>
      </c>
      <c r="G80" s="86">
        <f>Table3[[#This Row],[Per/ct]]*Table3[[#This Row],[Carats]]</f>
        <v>2096</v>
      </c>
    </row>
    <row r="81" spans="2:7" ht="16.05" customHeight="1" x14ac:dyDescent="0.3">
      <c r="B81" s="62"/>
      <c r="C81" s="91" t="s">
        <v>362</v>
      </c>
      <c r="D81" s="80"/>
      <c r="E81" s="46">
        <v>10.210000000000001</v>
      </c>
      <c r="F81" s="107">
        <v>200</v>
      </c>
      <c r="G81" s="86">
        <f>Table3[[#This Row],[Per/ct]]*Table3[[#This Row],[Carats]]</f>
        <v>2042.0000000000002</v>
      </c>
    </row>
    <row r="82" spans="2:7" ht="16.05" customHeight="1" x14ac:dyDescent="0.3">
      <c r="B82" s="62"/>
      <c r="C82" s="91" t="s">
        <v>363</v>
      </c>
      <c r="D82" s="80"/>
      <c r="E82" s="46">
        <v>8.2799999999999994</v>
      </c>
      <c r="F82" s="107">
        <v>200</v>
      </c>
      <c r="G82" s="86">
        <f>Table3[[#This Row],[Per/ct]]*Table3[[#This Row],[Carats]]</f>
        <v>1655.9999999999998</v>
      </c>
    </row>
    <row r="83" spans="2:7" ht="16.05" customHeight="1" x14ac:dyDescent="0.3">
      <c r="B83" s="62"/>
      <c r="C83" s="91" t="s">
        <v>364</v>
      </c>
      <c r="D83" s="80"/>
      <c r="E83" s="46">
        <v>8.83</v>
      </c>
      <c r="F83" s="107">
        <v>150</v>
      </c>
      <c r="G83" s="86">
        <f>Table3[[#This Row],[Per/ct]]*Table3[[#This Row],[Carats]]</f>
        <v>1324.5</v>
      </c>
    </row>
    <row r="84" spans="2:7" ht="16.05" customHeight="1" x14ac:dyDescent="0.3">
      <c r="B84" s="62"/>
      <c r="C84" s="91" t="s">
        <v>365</v>
      </c>
      <c r="D84" s="80"/>
      <c r="E84" s="46">
        <v>26.21</v>
      </c>
      <c r="F84" s="107">
        <v>350</v>
      </c>
      <c r="G84" s="86">
        <f>Table3[[#This Row],[Per/ct]]*Table3[[#This Row],[Carats]]</f>
        <v>9173.5</v>
      </c>
    </row>
    <row r="85" spans="2:7" ht="16.05" customHeight="1" x14ac:dyDescent="0.3">
      <c r="B85" s="62"/>
      <c r="C85" s="91"/>
      <c r="D85" s="80"/>
      <c r="E85" s="46"/>
      <c r="F85" s="107"/>
      <c r="G85" s="82"/>
    </row>
    <row r="86" spans="2:7" ht="16.05" customHeight="1" x14ac:dyDescent="0.3">
      <c r="B86" s="62">
        <v>12</v>
      </c>
      <c r="C86" s="91" t="s">
        <v>366</v>
      </c>
      <c r="D86" s="80" t="s">
        <v>40</v>
      </c>
      <c r="E86" s="46">
        <v>4.53</v>
      </c>
      <c r="F86" s="107">
        <v>550</v>
      </c>
      <c r="G86" s="82">
        <f>Table3[[#This Row],[Per/ct]]*Table3[[#This Row],[Carats]]</f>
        <v>2491.5</v>
      </c>
    </row>
    <row r="87" spans="2:7" ht="16.05" customHeight="1" x14ac:dyDescent="0.3">
      <c r="B87" s="62"/>
      <c r="C87" s="91" t="s">
        <v>366</v>
      </c>
      <c r="D87" s="80" t="s">
        <v>33</v>
      </c>
      <c r="E87" s="46">
        <v>5.67</v>
      </c>
      <c r="F87" s="107">
        <v>650</v>
      </c>
      <c r="G87" s="82">
        <f>Table3[[#This Row],[Per/ct]]*Table3[[#This Row],[Carats]]</f>
        <v>3685.5</v>
      </c>
    </row>
    <row r="88" spans="2:7" ht="16.05" customHeight="1" x14ac:dyDescent="0.3">
      <c r="B88" s="62"/>
      <c r="C88" s="91"/>
      <c r="D88" s="80"/>
      <c r="E88" s="46"/>
      <c r="F88" s="107"/>
      <c r="G88" s="82"/>
    </row>
    <row r="89" spans="2:7" ht="16.05" customHeight="1" x14ac:dyDescent="0.3">
      <c r="B89" s="62">
        <v>13</v>
      </c>
      <c r="C89" s="91" t="s">
        <v>367</v>
      </c>
      <c r="D89" s="80"/>
      <c r="E89" s="46">
        <v>5.54</v>
      </c>
      <c r="F89" s="107">
        <v>0</v>
      </c>
      <c r="G89" s="86">
        <f>Table3[[#This Row],[Per/ct]]*Table3[[#This Row],[Carats]]</f>
        <v>0</v>
      </c>
    </row>
    <row r="90" spans="2:7" ht="16.05" customHeight="1" x14ac:dyDescent="0.3">
      <c r="B90" s="62"/>
      <c r="C90" s="91" t="s">
        <v>367</v>
      </c>
      <c r="D90" s="80"/>
      <c r="E90" s="46">
        <v>1.06</v>
      </c>
      <c r="F90" s="107">
        <v>0</v>
      </c>
      <c r="G90" s="86">
        <f>Table3[[#This Row],[Per/ct]]*Table3[[#This Row],[Carats]]</f>
        <v>0</v>
      </c>
    </row>
    <row r="91" spans="2:7" ht="16.05" customHeight="1" x14ac:dyDescent="0.3">
      <c r="B91" s="62"/>
      <c r="C91" s="91" t="s">
        <v>367</v>
      </c>
      <c r="D91" s="46"/>
      <c r="E91" s="47">
        <v>1.7</v>
      </c>
      <c r="F91" s="107">
        <v>0</v>
      </c>
      <c r="G91" s="86">
        <f>Table3[[#This Row],[Per/ct]]*Table3[[#This Row],[Carats]]</f>
        <v>0</v>
      </c>
    </row>
    <row r="92" spans="2:7" ht="16.05" customHeight="1" x14ac:dyDescent="0.3">
      <c r="B92" s="62"/>
      <c r="C92" s="91" t="s">
        <v>367</v>
      </c>
      <c r="D92" s="46"/>
      <c r="E92" s="47">
        <v>5</v>
      </c>
      <c r="F92" s="107">
        <v>0</v>
      </c>
      <c r="G92" s="86">
        <f>Table3[[#This Row],[Per/ct]]*Table3[[#This Row],[Carats]]</f>
        <v>0</v>
      </c>
    </row>
    <row r="93" spans="2:7" ht="16.05" customHeight="1" x14ac:dyDescent="0.3">
      <c r="B93" s="81"/>
      <c r="C93" s="92" t="s">
        <v>367</v>
      </c>
      <c r="D93" s="71"/>
      <c r="E93" s="71">
        <v>9.02</v>
      </c>
      <c r="F93" s="108">
        <v>0</v>
      </c>
      <c r="G93" s="86">
        <f>Table3[[#This Row],[Per/ct]]*Table3[[#This Row],[Carats]]</f>
        <v>0</v>
      </c>
    </row>
    <row r="94" spans="2:7" ht="16.05" customHeight="1" x14ac:dyDescent="0.3">
      <c r="B94" s="87" t="s">
        <v>306</v>
      </c>
      <c r="C94" s="88"/>
      <c r="D94" s="88"/>
      <c r="E94" s="101">
        <f>SUBTOTAL(109,Table3[Carats])</f>
        <v>489.36</v>
      </c>
      <c r="F94" s="89">
        <f>SUBTOTAL(109,Table3[Per/ct])</f>
        <v>27720</v>
      </c>
      <c r="G94" s="102">
        <f>SUBTOTAL(109,Table3[Total $])</f>
        <v>178729.25</v>
      </c>
    </row>
  </sheetData>
  <mergeCells count="1">
    <mergeCell ref="B2:G2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40DDC-27FA-46E9-BB4E-4163B184010E}">
  <dimension ref="B1:K194"/>
  <sheetViews>
    <sheetView topLeftCell="A23" workbookViewId="0">
      <selection activeCell="P42" sqref="P42"/>
    </sheetView>
  </sheetViews>
  <sheetFormatPr defaultRowHeight="15" customHeight="1" x14ac:dyDescent="0.3"/>
  <cols>
    <col min="1" max="1" width="2.77734375" style="1" customWidth="1"/>
    <col min="2" max="2" width="6.109375" style="1" customWidth="1"/>
    <col min="3" max="3" width="23.77734375" style="1" customWidth="1"/>
    <col min="4" max="4" width="11.77734375" style="1" bestFit="1" customWidth="1"/>
    <col min="5" max="5" width="8.88671875" style="1"/>
    <col min="6" max="6" width="6.88671875" style="1" customWidth="1"/>
    <col min="7" max="7" width="7.33203125" style="1" customWidth="1"/>
    <col min="8" max="8" width="8.88671875" style="1"/>
    <col min="9" max="9" width="3.88671875" style="1" customWidth="1"/>
    <col min="10" max="10" width="9.44140625" style="1" customWidth="1"/>
    <col min="11" max="11" width="12.44140625" style="1" customWidth="1"/>
    <col min="12" max="16384" width="8.88671875" style="1"/>
  </cols>
  <sheetData>
    <row r="1" spans="2:11" ht="15" customHeight="1" x14ac:dyDescent="0.3">
      <c r="B1" s="202" t="s">
        <v>387</v>
      </c>
      <c r="C1" s="203"/>
      <c r="D1" s="203"/>
      <c r="E1" s="203"/>
      <c r="F1" s="203"/>
      <c r="G1" s="203"/>
      <c r="H1" s="203"/>
      <c r="I1" s="203"/>
      <c r="J1" s="203"/>
      <c r="K1" s="204"/>
    </row>
    <row r="2" spans="2:11" ht="15" customHeight="1" x14ac:dyDescent="0.3">
      <c r="B2" s="136" t="s">
        <v>0</v>
      </c>
      <c r="C2" s="101" t="s">
        <v>182</v>
      </c>
      <c r="D2" s="101" t="s">
        <v>188</v>
      </c>
      <c r="E2" s="101" t="s">
        <v>15</v>
      </c>
      <c r="F2" s="101" t="s">
        <v>376</v>
      </c>
      <c r="G2" s="101" t="s">
        <v>377</v>
      </c>
      <c r="H2" s="101" t="s">
        <v>181</v>
      </c>
      <c r="I2" s="101" t="s">
        <v>378</v>
      </c>
      <c r="J2" s="137" t="s">
        <v>379</v>
      </c>
      <c r="K2" s="138" t="s">
        <v>7</v>
      </c>
    </row>
    <row r="3" spans="2:11" ht="15" customHeight="1" x14ac:dyDescent="0.3">
      <c r="B3" s="116">
        <v>1</v>
      </c>
      <c r="C3" s="117" t="s">
        <v>411</v>
      </c>
      <c r="D3" s="117" t="s">
        <v>326</v>
      </c>
      <c r="E3" s="118" t="s">
        <v>18</v>
      </c>
      <c r="F3" s="119">
        <f>H3/G3</f>
        <v>0.21495934959349594</v>
      </c>
      <c r="G3" s="118">
        <v>123</v>
      </c>
      <c r="H3" s="118">
        <v>26.44</v>
      </c>
      <c r="I3" s="118"/>
      <c r="J3" s="143">
        <v>572</v>
      </c>
      <c r="K3" s="120">
        <f>J3*H3</f>
        <v>15123.68</v>
      </c>
    </row>
    <row r="4" spans="2:11" ht="15" customHeight="1" x14ac:dyDescent="0.3">
      <c r="B4" s="121">
        <v>2</v>
      </c>
      <c r="C4" s="91" t="s">
        <v>412</v>
      </c>
      <c r="D4" s="91" t="s">
        <v>326</v>
      </c>
      <c r="E4" s="46" t="s">
        <v>18</v>
      </c>
      <c r="F4" s="111">
        <f>H4/G4</f>
        <v>0.21942857142857142</v>
      </c>
      <c r="G4" s="46">
        <v>70</v>
      </c>
      <c r="H4" s="46">
        <v>15.36</v>
      </c>
      <c r="I4" s="46"/>
      <c r="J4" s="107">
        <v>516</v>
      </c>
      <c r="K4" s="122">
        <f>J4*H4</f>
        <v>7925.7599999999993</v>
      </c>
    </row>
    <row r="5" spans="2:11" ht="15" customHeight="1" x14ac:dyDescent="0.3">
      <c r="B5" s="123">
        <v>3</v>
      </c>
      <c r="C5" s="125" t="s">
        <v>413</v>
      </c>
      <c r="D5" s="125" t="s">
        <v>326</v>
      </c>
      <c r="E5" s="126" t="s">
        <v>18</v>
      </c>
      <c r="F5" s="127">
        <f>H5/G5</f>
        <v>0.15055555555555558</v>
      </c>
      <c r="G5" s="126">
        <v>108</v>
      </c>
      <c r="H5" s="126">
        <v>16.260000000000002</v>
      </c>
      <c r="I5" s="126"/>
      <c r="J5" s="144">
        <v>518.5</v>
      </c>
      <c r="K5" s="129">
        <f>J5*H5</f>
        <v>8430.8100000000013</v>
      </c>
    </row>
    <row r="6" spans="2:11" ht="15" customHeight="1" x14ac:dyDescent="0.3">
      <c r="B6" s="112"/>
      <c r="C6" s="114"/>
      <c r="D6" s="114"/>
      <c r="E6" s="113"/>
      <c r="F6" s="135"/>
      <c r="G6" s="113"/>
      <c r="H6" s="113"/>
      <c r="I6" s="113"/>
      <c r="J6" s="145"/>
      <c r="K6" s="115"/>
    </row>
    <row r="7" spans="2:11" ht="15" customHeight="1" x14ac:dyDescent="0.3">
      <c r="B7" s="116">
        <v>4</v>
      </c>
      <c r="C7" s="117" t="s">
        <v>97</v>
      </c>
      <c r="D7" s="117" t="s">
        <v>326</v>
      </c>
      <c r="E7" s="132" t="s">
        <v>383</v>
      </c>
      <c r="F7" s="119">
        <f t="shared" ref="F7:F47" si="0">H7/G7</f>
        <v>0.13192307692307692</v>
      </c>
      <c r="G7" s="118">
        <v>52</v>
      </c>
      <c r="H7" s="118">
        <v>6.86</v>
      </c>
      <c r="I7" s="118"/>
      <c r="J7" s="146">
        <v>450</v>
      </c>
      <c r="K7" s="120">
        <f>J7*H7</f>
        <v>3087</v>
      </c>
    </row>
    <row r="8" spans="2:11" ht="15" customHeight="1" x14ac:dyDescent="0.3">
      <c r="B8" s="121">
        <v>5</v>
      </c>
      <c r="C8" s="91" t="s">
        <v>97</v>
      </c>
      <c r="D8" s="91" t="s">
        <v>326</v>
      </c>
      <c r="E8" s="80" t="s">
        <v>384</v>
      </c>
      <c r="F8" s="111">
        <f t="shared" si="0"/>
        <v>0.11375</v>
      </c>
      <c r="G8" s="46">
        <v>56</v>
      </c>
      <c r="H8" s="46">
        <v>6.37</v>
      </c>
      <c r="I8" s="46"/>
      <c r="J8" s="107">
        <v>450</v>
      </c>
      <c r="K8" s="122">
        <f>J8*H8</f>
        <v>2866.5</v>
      </c>
    </row>
    <row r="9" spans="2:11" ht="15" customHeight="1" x14ac:dyDescent="0.3">
      <c r="B9" s="121">
        <v>6</v>
      </c>
      <c r="C9" s="91" t="s">
        <v>97</v>
      </c>
      <c r="D9" s="91" t="s">
        <v>326</v>
      </c>
      <c r="E9" s="80" t="s">
        <v>385</v>
      </c>
      <c r="F9" s="111">
        <f t="shared" si="0"/>
        <v>0.1</v>
      </c>
      <c r="G9" s="46">
        <v>60</v>
      </c>
      <c r="H9" s="47">
        <v>6</v>
      </c>
      <c r="I9" s="46"/>
      <c r="J9" s="107">
        <v>450</v>
      </c>
      <c r="K9" s="122">
        <f>J9*H9</f>
        <v>2700</v>
      </c>
    </row>
    <row r="10" spans="2:11" ht="15" customHeight="1" x14ac:dyDescent="0.3">
      <c r="B10" s="123">
        <v>7</v>
      </c>
      <c r="C10" s="125" t="s">
        <v>97</v>
      </c>
      <c r="D10" s="125" t="s">
        <v>326</v>
      </c>
      <c r="E10" s="134" t="s">
        <v>386</v>
      </c>
      <c r="F10" s="127">
        <f t="shared" si="0"/>
        <v>9.0499999999999997E-2</v>
      </c>
      <c r="G10" s="126">
        <v>60</v>
      </c>
      <c r="H10" s="126">
        <v>5.43</v>
      </c>
      <c r="I10" s="126"/>
      <c r="J10" s="144">
        <v>450</v>
      </c>
      <c r="K10" s="129">
        <f>J10*H10</f>
        <v>2443.5</v>
      </c>
    </row>
    <row r="11" spans="2:11" ht="15" customHeight="1" x14ac:dyDescent="0.3">
      <c r="B11" s="112"/>
      <c r="C11" s="114"/>
      <c r="D11" s="114"/>
      <c r="E11" s="133"/>
      <c r="F11" s="135"/>
      <c r="G11" s="113"/>
      <c r="H11" s="113"/>
      <c r="I11" s="113"/>
      <c r="J11" s="145"/>
      <c r="K11" s="115"/>
    </row>
    <row r="12" spans="2:11" ht="15" customHeight="1" x14ac:dyDescent="0.3">
      <c r="B12" s="116">
        <v>8</v>
      </c>
      <c r="C12" s="117" t="s">
        <v>391</v>
      </c>
      <c r="D12" s="117" t="s">
        <v>388</v>
      </c>
      <c r="E12" s="132" t="s">
        <v>357</v>
      </c>
      <c r="F12" s="119">
        <f t="shared" si="0"/>
        <v>0.10458333333333332</v>
      </c>
      <c r="G12" s="118">
        <v>24</v>
      </c>
      <c r="H12" s="118">
        <v>2.5099999999999998</v>
      </c>
      <c r="I12" s="118"/>
      <c r="J12" s="146">
        <v>450</v>
      </c>
      <c r="K12" s="120">
        <f t="shared" ref="K12:K47" si="1">J12*H12</f>
        <v>1129.5</v>
      </c>
    </row>
    <row r="13" spans="2:11" ht="15" customHeight="1" x14ac:dyDescent="0.3">
      <c r="B13" s="121"/>
      <c r="C13" s="91"/>
      <c r="D13" s="91" t="s">
        <v>389</v>
      </c>
      <c r="E13" s="80" t="s">
        <v>357</v>
      </c>
      <c r="F13" s="111">
        <f t="shared" si="0"/>
        <v>9.9999999999999992E-2</v>
      </c>
      <c r="G13" s="46">
        <v>6</v>
      </c>
      <c r="H13" s="47">
        <v>0.6</v>
      </c>
      <c r="I13" s="46"/>
      <c r="J13" s="107">
        <v>450</v>
      </c>
      <c r="K13" s="122">
        <f t="shared" si="1"/>
        <v>270</v>
      </c>
    </row>
    <row r="14" spans="2:11" ht="15" customHeight="1" x14ac:dyDescent="0.3">
      <c r="B14" s="121"/>
      <c r="C14" s="91"/>
      <c r="D14" s="91" t="s">
        <v>390</v>
      </c>
      <c r="E14" s="80" t="s">
        <v>357</v>
      </c>
      <c r="F14" s="111">
        <f t="shared" si="0"/>
        <v>9.166666666666666E-2</v>
      </c>
      <c r="G14" s="46">
        <v>18</v>
      </c>
      <c r="H14" s="46">
        <v>1.65</v>
      </c>
      <c r="I14" s="46"/>
      <c r="J14" s="107">
        <v>475</v>
      </c>
      <c r="K14" s="122">
        <f t="shared" si="1"/>
        <v>783.75</v>
      </c>
    </row>
    <row r="15" spans="2:11" ht="15" customHeight="1" x14ac:dyDescent="0.3">
      <c r="B15" s="123"/>
      <c r="C15" s="124" t="s">
        <v>392</v>
      </c>
      <c r="D15" s="125" t="s">
        <v>366</v>
      </c>
      <c r="E15" s="134" t="s">
        <v>33</v>
      </c>
      <c r="F15" s="127">
        <f t="shared" si="0"/>
        <v>0.23799999999999999</v>
      </c>
      <c r="G15" s="126">
        <v>15</v>
      </c>
      <c r="H15" s="126">
        <v>3.57</v>
      </c>
      <c r="I15" s="126"/>
      <c r="J15" s="144">
        <v>650</v>
      </c>
      <c r="K15" s="129">
        <f t="shared" si="1"/>
        <v>2320.5</v>
      </c>
    </row>
    <row r="16" spans="2:11" ht="15" customHeight="1" x14ac:dyDescent="0.3">
      <c r="B16" s="112"/>
      <c r="C16" s="114"/>
      <c r="D16" s="114"/>
      <c r="E16" s="133"/>
      <c r="F16" s="135"/>
      <c r="G16" s="113"/>
      <c r="H16" s="113"/>
      <c r="I16" s="113"/>
      <c r="J16" s="145"/>
      <c r="K16" s="115"/>
    </row>
    <row r="17" spans="2:11" ht="15" customHeight="1" x14ac:dyDescent="0.3">
      <c r="B17" s="116">
        <v>9</v>
      </c>
      <c r="C17" s="117" t="s">
        <v>393</v>
      </c>
      <c r="D17" s="117" t="s">
        <v>388</v>
      </c>
      <c r="E17" s="132" t="s">
        <v>31</v>
      </c>
      <c r="F17" s="119">
        <f t="shared" si="0"/>
        <v>0.35714285714285715</v>
      </c>
      <c r="G17" s="118">
        <v>7</v>
      </c>
      <c r="H17" s="131">
        <v>2.5</v>
      </c>
      <c r="I17" s="118"/>
      <c r="J17" s="146">
        <v>700</v>
      </c>
      <c r="K17" s="120">
        <f t="shared" si="1"/>
        <v>1750</v>
      </c>
    </row>
    <row r="18" spans="2:11" ht="15" customHeight="1" x14ac:dyDescent="0.3">
      <c r="B18" s="121"/>
      <c r="C18" s="91"/>
      <c r="D18" s="91" t="s">
        <v>388</v>
      </c>
      <c r="E18" s="80" t="s">
        <v>22</v>
      </c>
      <c r="F18" s="111">
        <f t="shared" si="0"/>
        <v>0.41</v>
      </c>
      <c r="G18" s="46">
        <v>1</v>
      </c>
      <c r="H18" s="46">
        <v>0.41</v>
      </c>
      <c r="I18" s="46"/>
      <c r="J18" s="107">
        <v>750</v>
      </c>
      <c r="K18" s="122">
        <f t="shared" si="1"/>
        <v>307.5</v>
      </c>
    </row>
    <row r="19" spans="2:11" ht="15" customHeight="1" x14ac:dyDescent="0.3">
      <c r="B19" s="121"/>
      <c r="C19" s="91"/>
      <c r="D19" s="91" t="s">
        <v>390</v>
      </c>
      <c r="E19" s="80" t="s">
        <v>31</v>
      </c>
      <c r="F19" s="111">
        <f t="shared" si="0"/>
        <v>0.36</v>
      </c>
      <c r="G19" s="46">
        <v>1</v>
      </c>
      <c r="H19" s="46">
        <v>0.36</v>
      </c>
      <c r="I19" s="46"/>
      <c r="J19" s="107">
        <v>750</v>
      </c>
      <c r="K19" s="122">
        <f t="shared" si="1"/>
        <v>270</v>
      </c>
    </row>
    <row r="20" spans="2:11" ht="15" customHeight="1" x14ac:dyDescent="0.3">
      <c r="B20" s="121"/>
      <c r="C20" s="91"/>
      <c r="D20" s="91" t="s">
        <v>390</v>
      </c>
      <c r="E20" s="80" t="s">
        <v>22</v>
      </c>
      <c r="F20" s="111">
        <f t="shared" si="0"/>
        <v>0.40625</v>
      </c>
      <c r="G20" s="46">
        <v>8</v>
      </c>
      <c r="H20" s="46">
        <v>3.25</v>
      </c>
      <c r="I20" s="46"/>
      <c r="J20" s="107">
        <v>800</v>
      </c>
      <c r="K20" s="122">
        <f t="shared" si="1"/>
        <v>2600</v>
      </c>
    </row>
    <row r="21" spans="2:11" ht="15" customHeight="1" x14ac:dyDescent="0.3">
      <c r="B21" s="123"/>
      <c r="C21" s="124" t="s">
        <v>395</v>
      </c>
      <c r="D21" s="125"/>
      <c r="E21" s="134" t="s">
        <v>33</v>
      </c>
      <c r="F21" s="127">
        <f t="shared" si="0"/>
        <v>0.24625</v>
      </c>
      <c r="G21" s="126">
        <v>24</v>
      </c>
      <c r="H21" s="126">
        <v>5.91</v>
      </c>
      <c r="I21" s="126"/>
      <c r="J21" s="144">
        <v>600</v>
      </c>
      <c r="K21" s="129">
        <f t="shared" si="1"/>
        <v>3546</v>
      </c>
    </row>
    <row r="22" spans="2:11" ht="15" customHeight="1" x14ac:dyDescent="0.3">
      <c r="B22" s="112"/>
      <c r="C22" s="114"/>
      <c r="D22" s="114"/>
      <c r="E22" s="133"/>
      <c r="F22" s="113"/>
      <c r="G22" s="113"/>
      <c r="H22" s="113"/>
      <c r="I22" s="113"/>
      <c r="J22" s="145"/>
      <c r="K22" s="115"/>
    </row>
    <row r="23" spans="2:11" ht="15" customHeight="1" x14ac:dyDescent="0.3">
      <c r="B23" s="116">
        <v>10</v>
      </c>
      <c r="C23" s="117" t="s">
        <v>396</v>
      </c>
      <c r="D23" s="117" t="s">
        <v>388</v>
      </c>
      <c r="E23" s="132" t="s">
        <v>398</v>
      </c>
      <c r="F23" s="119">
        <f t="shared" si="0"/>
        <v>0.12</v>
      </c>
      <c r="G23" s="118">
        <v>8</v>
      </c>
      <c r="H23" s="118">
        <v>0.96</v>
      </c>
      <c r="I23" s="118"/>
      <c r="J23" s="146">
        <v>450</v>
      </c>
      <c r="K23" s="120">
        <f t="shared" si="1"/>
        <v>432</v>
      </c>
    </row>
    <row r="24" spans="2:11" ht="15" customHeight="1" x14ac:dyDescent="0.3">
      <c r="B24" s="121"/>
      <c r="C24" s="91"/>
      <c r="D24" s="91" t="s">
        <v>388</v>
      </c>
      <c r="E24" s="80"/>
      <c r="F24" s="111">
        <f t="shared" si="0"/>
        <v>0.13375000000000001</v>
      </c>
      <c r="G24" s="46">
        <v>16</v>
      </c>
      <c r="H24" s="46">
        <v>2.14</v>
      </c>
      <c r="I24" s="46"/>
      <c r="J24" s="107">
        <v>525</v>
      </c>
      <c r="K24" s="122">
        <f t="shared" si="1"/>
        <v>1123.5</v>
      </c>
    </row>
    <row r="25" spans="2:11" ht="15" customHeight="1" x14ac:dyDescent="0.3">
      <c r="B25" s="123"/>
      <c r="C25" s="124" t="s">
        <v>399</v>
      </c>
      <c r="D25" s="125" t="s">
        <v>397</v>
      </c>
      <c r="E25" s="134" t="s">
        <v>31</v>
      </c>
      <c r="F25" s="127">
        <f t="shared" si="0"/>
        <v>0.31666666666666665</v>
      </c>
      <c r="G25" s="126">
        <v>12</v>
      </c>
      <c r="H25" s="128">
        <v>3.8</v>
      </c>
      <c r="I25" s="126"/>
      <c r="J25" s="144">
        <v>504</v>
      </c>
      <c r="K25" s="129">
        <f t="shared" si="1"/>
        <v>1915.1999999999998</v>
      </c>
    </row>
    <row r="26" spans="2:11" ht="15" customHeight="1" x14ac:dyDescent="0.3">
      <c r="B26" s="112"/>
      <c r="C26" s="114"/>
      <c r="D26" s="114"/>
      <c r="E26" s="133"/>
      <c r="F26" s="113"/>
      <c r="G26" s="113"/>
      <c r="H26" s="113"/>
      <c r="I26" s="113"/>
      <c r="J26" s="145"/>
      <c r="K26" s="115"/>
    </row>
    <row r="27" spans="2:11" ht="15" customHeight="1" x14ac:dyDescent="0.3">
      <c r="B27" s="116">
        <v>11</v>
      </c>
      <c r="C27" s="117" t="s">
        <v>400</v>
      </c>
      <c r="D27" s="117" t="s">
        <v>388</v>
      </c>
      <c r="E27" s="132" t="s">
        <v>357</v>
      </c>
      <c r="F27" s="119">
        <f t="shared" si="0"/>
        <v>8.6249999999999993E-2</v>
      </c>
      <c r="G27" s="118">
        <v>8</v>
      </c>
      <c r="H27" s="118">
        <v>0.69</v>
      </c>
      <c r="I27" s="118"/>
      <c r="J27" s="146">
        <v>450</v>
      </c>
      <c r="K27" s="120">
        <f t="shared" si="1"/>
        <v>310.5</v>
      </c>
    </row>
    <row r="28" spans="2:11" ht="15" customHeight="1" x14ac:dyDescent="0.3">
      <c r="B28" s="121"/>
      <c r="C28" s="46"/>
      <c r="D28" s="91" t="s">
        <v>388</v>
      </c>
      <c r="E28" s="46" t="s">
        <v>51</v>
      </c>
      <c r="F28" s="111">
        <f t="shared" si="0"/>
        <v>0.14285714285714285</v>
      </c>
      <c r="G28" s="46">
        <v>14</v>
      </c>
      <c r="H28" s="47">
        <v>2</v>
      </c>
      <c r="I28" s="46"/>
      <c r="J28" s="107">
        <v>525</v>
      </c>
      <c r="K28" s="122">
        <f t="shared" si="1"/>
        <v>1050</v>
      </c>
    </row>
    <row r="29" spans="2:11" ht="15" customHeight="1" x14ac:dyDescent="0.3">
      <c r="B29" s="121"/>
      <c r="C29" s="46"/>
      <c r="D29" s="91" t="s">
        <v>388</v>
      </c>
      <c r="E29" s="46" t="s">
        <v>40</v>
      </c>
      <c r="F29" s="111">
        <f t="shared" si="0"/>
        <v>0.18</v>
      </c>
      <c r="G29" s="46">
        <v>2</v>
      </c>
      <c r="H29" s="46">
        <v>0.36</v>
      </c>
      <c r="I29" s="46"/>
      <c r="J29" s="107">
        <v>575</v>
      </c>
      <c r="K29" s="122">
        <f t="shared" si="1"/>
        <v>207</v>
      </c>
    </row>
    <row r="30" spans="2:11" ht="15" customHeight="1" x14ac:dyDescent="0.3">
      <c r="B30" s="123"/>
      <c r="C30" s="124" t="s">
        <v>401</v>
      </c>
      <c r="D30" s="125" t="s">
        <v>397</v>
      </c>
      <c r="E30" s="126" t="s">
        <v>33</v>
      </c>
      <c r="F30" s="127">
        <f t="shared" si="0"/>
        <v>0.26857142857142857</v>
      </c>
      <c r="G30" s="126">
        <v>14</v>
      </c>
      <c r="H30" s="126">
        <v>3.76</v>
      </c>
      <c r="I30" s="126"/>
      <c r="J30" s="144">
        <v>504</v>
      </c>
      <c r="K30" s="129">
        <f t="shared" si="1"/>
        <v>1895.04</v>
      </c>
    </row>
    <row r="31" spans="2:11" ht="15" customHeight="1" x14ac:dyDescent="0.3">
      <c r="B31" s="112"/>
      <c r="C31" s="113"/>
      <c r="D31" s="114"/>
      <c r="E31" s="113"/>
      <c r="F31" s="113"/>
      <c r="G31" s="113"/>
      <c r="H31" s="113"/>
      <c r="I31" s="113"/>
      <c r="J31" s="145"/>
      <c r="K31" s="130"/>
    </row>
    <row r="32" spans="2:11" ht="15" customHeight="1" x14ac:dyDescent="0.3">
      <c r="B32" s="116">
        <v>12</v>
      </c>
      <c r="C32" s="117" t="s">
        <v>402</v>
      </c>
      <c r="D32" s="117" t="s">
        <v>394</v>
      </c>
      <c r="E32" s="118" t="s">
        <v>33</v>
      </c>
      <c r="F32" s="119">
        <f t="shared" si="0"/>
        <v>0.26250000000000001</v>
      </c>
      <c r="G32" s="118">
        <v>24</v>
      </c>
      <c r="H32" s="131">
        <v>6.3</v>
      </c>
      <c r="I32" s="118"/>
      <c r="J32" s="146">
        <v>600</v>
      </c>
      <c r="K32" s="120">
        <f t="shared" si="1"/>
        <v>3780</v>
      </c>
    </row>
    <row r="33" spans="2:11" ht="15" customHeight="1" x14ac:dyDescent="0.3">
      <c r="B33" s="121"/>
      <c r="C33" s="46"/>
      <c r="D33" s="91" t="s">
        <v>394</v>
      </c>
      <c r="E33" s="46" t="s">
        <v>51</v>
      </c>
      <c r="F33" s="111">
        <f t="shared" si="0"/>
        <v>0.15928571428571428</v>
      </c>
      <c r="G33" s="46">
        <v>14</v>
      </c>
      <c r="H33" s="46">
        <v>2.23</v>
      </c>
      <c r="I33" s="46"/>
      <c r="J33" s="107">
        <v>500</v>
      </c>
      <c r="K33" s="122">
        <f t="shared" si="1"/>
        <v>1115</v>
      </c>
    </row>
    <row r="34" spans="2:11" ht="15" customHeight="1" x14ac:dyDescent="0.3">
      <c r="B34" s="121"/>
      <c r="C34" s="46"/>
      <c r="D34" s="91" t="s">
        <v>390</v>
      </c>
      <c r="E34" s="46" t="s">
        <v>51</v>
      </c>
      <c r="F34" s="111">
        <f t="shared" si="0"/>
        <v>0.13875000000000001</v>
      </c>
      <c r="G34" s="46">
        <v>8</v>
      </c>
      <c r="H34" s="46">
        <v>1.1100000000000001</v>
      </c>
      <c r="I34" s="46"/>
      <c r="J34" s="107">
        <v>525</v>
      </c>
      <c r="K34" s="122">
        <f t="shared" si="1"/>
        <v>582.75</v>
      </c>
    </row>
    <row r="35" spans="2:11" ht="15" customHeight="1" x14ac:dyDescent="0.3">
      <c r="B35" s="123"/>
      <c r="C35" s="124" t="s">
        <v>403</v>
      </c>
      <c r="D35" s="125" t="s">
        <v>390</v>
      </c>
      <c r="E35" s="126" t="s">
        <v>357</v>
      </c>
      <c r="F35" s="127">
        <f t="shared" si="0"/>
        <v>0.10727272727272727</v>
      </c>
      <c r="G35" s="126">
        <v>11</v>
      </c>
      <c r="H35" s="126">
        <v>1.18</v>
      </c>
      <c r="I35" s="126"/>
      <c r="J35" s="144">
        <v>450</v>
      </c>
      <c r="K35" s="129">
        <f t="shared" si="1"/>
        <v>531</v>
      </c>
    </row>
    <row r="36" spans="2:11" ht="15" customHeight="1" x14ac:dyDescent="0.3">
      <c r="B36" s="112"/>
      <c r="C36" s="113"/>
      <c r="D36" s="114"/>
      <c r="E36" s="113"/>
      <c r="F36" s="113"/>
      <c r="G36" s="113"/>
      <c r="H36" s="113"/>
      <c r="I36" s="113"/>
      <c r="J36" s="145"/>
      <c r="K36" s="130"/>
    </row>
    <row r="37" spans="2:11" ht="15" customHeight="1" x14ac:dyDescent="0.3">
      <c r="B37" s="116">
        <v>13</v>
      </c>
      <c r="C37" s="117" t="s">
        <v>405</v>
      </c>
      <c r="D37" s="117" t="s">
        <v>366</v>
      </c>
      <c r="E37" s="118" t="s">
        <v>357</v>
      </c>
      <c r="F37" s="119">
        <f t="shared" si="0"/>
        <v>9.7857142857142865E-2</v>
      </c>
      <c r="G37" s="118">
        <v>28</v>
      </c>
      <c r="H37" s="118">
        <v>2.74</v>
      </c>
      <c r="I37" s="118"/>
      <c r="J37" s="146">
        <v>450</v>
      </c>
      <c r="K37" s="120">
        <f t="shared" si="1"/>
        <v>1233</v>
      </c>
    </row>
    <row r="38" spans="2:11" ht="15" customHeight="1" x14ac:dyDescent="0.3">
      <c r="B38" s="121"/>
      <c r="C38" s="46"/>
      <c r="D38" s="91" t="s">
        <v>394</v>
      </c>
      <c r="E38" s="46" t="s">
        <v>51</v>
      </c>
      <c r="F38" s="111">
        <f t="shared" si="0"/>
        <v>0.15857142857142859</v>
      </c>
      <c r="G38" s="46">
        <v>7</v>
      </c>
      <c r="H38" s="46">
        <v>1.1100000000000001</v>
      </c>
      <c r="I38" s="46"/>
      <c r="J38" s="107">
        <v>500</v>
      </c>
      <c r="K38" s="122">
        <f t="shared" si="1"/>
        <v>555</v>
      </c>
    </row>
    <row r="39" spans="2:11" ht="15" customHeight="1" x14ac:dyDescent="0.3">
      <c r="B39" s="121"/>
      <c r="C39" s="46"/>
      <c r="D39" s="91" t="s">
        <v>397</v>
      </c>
      <c r="E39" s="46" t="s">
        <v>31</v>
      </c>
      <c r="F39" s="111">
        <f t="shared" si="0"/>
        <v>0.31900000000000001</v>
      </c>
      <c r="G39" s="46">
        <v>10</v>
      </c>
      <c r="H39" s="46">
        <v>3.19</v>
      </c>
      <c r="I39" s="46"/>
      <c r="J39" s="107">
        <v>504</v>
      </c>
      <c r="K39" s="122">
        <f t="shared" si="1"/>
        <v>1607.76</v>
      </c>
    </row>
    <row r="40" spans="2:11" ht="15" customHeight="1" x14ac:dyDescent="0.3">
      <c r="B40" s="123"/>
      <c r="C40" s="124" t="s">
        <v>406</v>
      </c>
      <c r="D40" s="125" t="s">
        <v>404</v>
      </c>
      <c r="E40" s="126" t="s">
        <v>31</v>
      </c>
      <c r="F40" s="127">
        <f t="shared" si="0"/>
        <v>0.32</v>
      </c>
      <c r="G40" s="126">
        <v>4</v>
      </c>
      <c r="H40" s="126">
        <v>1.28</v>
      </c>
      <c r="I40" s="126"/>
      <c r="J40" s="144">
        <v>504</v>
      </c>
      <c r="K40" s="129">
        <f t="shared" si="1"/>
        <v>645.12</v>
      </c>
    </row>
    <row r="41" spans="2:11" ht="15" customHeight="1" x14ac:dyDescent="0.3">
      <c r="B41" s="112"/>
      <c r="C41" s="113"/>
      <c r="D41" s="114"/>
      <c r="E41" s="113"/>
      <c r="F41" s="113"/>
      <c r="G41" s="113"/>
      <c r="H41" s="113"/>
      <c r="I41" s="113"/>
      <c r="J41" s="145"/>
      <c r="K41" s="130"/>
    </row>
    <row r="42" spans="2:11" ht="15" customHeight="1" x14ac:dyDescent="0.3">
      <c r="B42" s="116">
        <v>14</v>
      </c>
      <c r="C42" s="117" t="s">
        <v>407</v>
      </c>
      <c r="D42" s="117" t="s">
        <v>388</v>
      </c>
      <c r="E42" s="118" t="s">
        <v>31</v>
      </c>
      <c r="F42" s="119">
        <f t="shared" si="0"/>
        <v>0.32333333333333331</v>
      </c>
      <c r="G42" s="118">
        <v>3</v>
      </c>
      <c r="H42" s="118">
        <v>0.97</v>
      </c>
      <c r="I42" s="118"/>
      <c r="J42" s="146">
        <v>700</v>
      </c>
      <c r="K42" s="120">
        <f t="shared" si="1"/>
        <v>679</v>
      </c>
    </row>
    <row r="43" spans="2:11" ht="15" customHeight="1" x14ac:dyDescent="0.3">
      <c r="B43" s="121"/>
      <c r="C43" s="46"/>
      <c r="D43" s="91" t="s">
        <v>388</v>
      </c>
      <c r="E43" s="46" t="s">
        <v>22</v>
      </c>
      <c r="F43" s="111">
        <f t="shared" si="0"/>
        <v>0.41</v>
      </c>
      <c r="G43" s="46">
        <v>1</v>
      </c>
      <c r="H43" s="46">
        <v>0.41</v>
      </c>
      <c r="I43" s="46"/>
      <c r="J43" s="107">
        <v>750</v>
      </c>
      <c r="K43" s="122">
        <f t="shared" si="1"/>
        <v>307.5</v>
      </c>
    </row>
    <row r="44" spans="2:11" ht="15" customHeight="1" x14ac:dyDescent="0.3">
      <c r="B44" s="121"/>
      <c r="C44" s="46"/>
      <c r="D44" s="91" t="s">
        <v>388</v>
      </c>
      <c r="E44" s="46" t="s">
        <v>410</v>
      </c>
      <c r="F44" s="111">
        <f t="shared" si="0"/>
        <v>0.72</v>
      </c>
      <c r="G44" s="46">
        <v>1</v>
      </c>
      <c r="H44" s="46">
        <v>0.72</v>
      </c>
      <c r="I44" s="46"/>
      <c r="J44" s="107">
        <v>1050</v>
      </c>
      <c r="K44" s="122">
        <f t="shared" si="1"/>
        <v>756</v>
      </c>
    </row>
    <row r="45" spans="2:11" ht="15" customHeight="1" x14ac:dyDescent="0.3">
      <c r="B45" s="121"/>
      <c r="C45" s="46"/>
      <c r="D45" s="91" t="s">
        <v>409</v>
      </c>
      <c r="E45" s="46" t="s">
        <v>357</v>
      </c>
      <c r="F45" s="111">
        <f t="shared" si="0"/>
        <v>8.6874999999999994E-2</v>
      </c>
      <c r="G45" s="46">
        <v>16</v>
      </c>
      <c r="H45" s="46">
        <v>1.39</v>
      </c>
      <c r="I45" s="46"/>
      <c r="J45" s="107">
        <v>450</v>
      </c>
      <c r="K45" s="122">
        <f t="shared" si="1"/>
        <v>625.5</v>
      </c>
    </row>
    <row r="46" spans="2:11" ht="15" customHeight="1" x14ac:dyDescent="0.3">
      <c r="B46" s="121"/>
      <c r="C46" s="46"/>
      <c r="D46" s="91" t="s">
        <v>409</v>
      </c>
      <c r="E46" s="46" t="s">
        <v>51</v>
      </c>
      <c r="F46" s="111">
        <f t="shared" si="0"/>
        <v>0.15705882352941175</v>
      </c>
      <c r="G46" s="46">
        <v>17</v>
      </c>
      <c r="H46" s="46">
        <v>2.67</v>
      </c>
      <c r="I46" s="46"/>
      <c r="J46" s="107">
        <v>525</v>
      </c>
      <c r="K46" s="122">
        <f t="shared" si="1"/>
        <v>1401.75</v>
      </c>
    </row>
    <row r="47" spans="2:11" ht="15" customHeight="1" x14ac:dyDescent="0.3">
      <c r="B47" s="123"/>
      <c r="C47" s="124" t="s">
        <v>408</v>
      </c>
      <c r="D47" s="125" t="s">
        <v>409</v>
      </c>
      <c r="E47" s="126" t="s">
        <v>40</v>
      </c>
      <c r="F47" s="127">
        <f t="shared" si="0"/>
        <v>0.19230769230769232</v>
      </c>
      <c r="G47" s="126">
        <v>13</v>
      </c>
      <c r="H47" s="128">
        <v>2.5</v>
      </c>
      <c r="I47" s="126"/>
      <c r="J47" s="144">
        <v>575</v>
      </c>
      <c r="K47" s="129">
        <f t="shared" si="1"/>
        <v>1437.5</v>
      </c>
    </row>
    <row r="48" spans="2:11" ht="15" customHeight="1" thickBot="1" x14ac:dyDescent="0.35">
      <c r="B48" s="139">
        <f>SUBTOTAL(103,Table5[Sr])</f>
        <v>14</v>
      </c>
      <c r="C48" s="140"/>
      <c r="D48" s="141"/>
      <c r="E48" s="140"/>
      <c r="F48" s="140"/>
      <c r="G48" s="140">
        <f>SUBTOTAL(109,Table5[Pcs])</f>
        <v>864</v>
      </c>
      <c r="H48" s="140">
        <f>SUBTOTAL(109,Table5[Carats])</f>
        <v>144.98999999999998</v>
      </c>
      <c r="I48" s="140"/>
      <c r="J48" s="140"/>
      <c r="K48" s="142">
        <f>SUBTOTAL(109,Table5[Total Cost])</f>
        <v>77744.619999999981</v>
      </c>
    </row>
    <row r="49" spans="4:10" ht="15" customHeight="1" thickTop="1" x14ac:dyDescent="0.3">
      <c r="D49" s="93"/>
      <c r="J49" s="95"/>
    </row>
    <row r="50" spans="4:10" ht="15" customHeight="1" x14ac:dyDescent="0.3">
      <c r="D50" s="93"/>
      <c r="J50" s="95"/>
    </row>
    <row r="51" spans="4:10" ht="15" customHeight="1" x14ac:dyDescent="0.3">
      <c r="D51" s="93"/>
      <c r="J51" s="95"/>
    </row>
    <row r="52" spans="4:10" ht="15" customHeight="1" x14ac:dyDescent="0.3">
      <c r="D52" s="93"/>
      <c r="J52" s="95"/>
    </row>
    <row r="53" spans="4:10" ht="15" customHeight="1" x14ac:dyDescent="0.3">
      <c r="D53" s="93"/>
      <c r="J53" s="95"/>
    </row>
    <row r="54" spans="4:10" ht="15" customHeight="1" x14ac:dyDescent="0.3">
      <c r="D54" s="93"/>
      <c r="J54" s="95"/>
    </row>
    <row r="55" spans="4:10" ht="15" customHeight="1" x14ac:dyDescent="0.3">
      <c r="D55" s="93"/>
      <c r="J55" s="95"/>
    </row>
    <row r="56" spans="4:10" ht="15" customHeight="1" x14ac:dyDescent="0.3">
      <c r="D56" s="93"/>
      <c r="J56" s="95"/>
    </row>
    <row r="57" spans="4:10" ht="15" customHeight="1" x14ac:dyDescent="0.3">
      <c r="D57" s="93"/>
      <c r="J57" s="95"/>
    </row>
    <row r="58" spans="4:10" ht="15" customHeight="1" x14ac:dyDescent="0.3">
      <c r="D58" s="93"/>
      <c r="J58" s="95"/>
    </row>
    <row r="59" spans="4:10" ht="15" customHeight="1" x14ac:dyDescent="0.3">
      <c r="D59" s="93"/>
      <c r="J59" s="95"/>
    </row>
    <row r="60" spans="4:10" ht="15" customHeight="1" x14ac:dyDescent="0.3">
      <c r="D60" s="93"/>
      <c r="J60" s="95"/>
    </row>
    <row r="61" spans="4:10" ht="15" customHeight="1" x14ac:dyDescent="0.3">
      <c r="D61" s="93"/>
      <c r="J61" s="95"/>
    </row>
    <row r="62" spans="4:10" ht="15" customHeight="1" x14ac:dyDescent="0.3">
      <c r="D62" s="93"/>
      <c r="J62" s="95"/>
    </row>
    <row r="63" spans="4:10" ht="15" customHeight="1" x14ac:dyDescent="0.3">
      <c r="D63" s="93"/>
      <c r="J63" s="95"/>
    </row>
    <row r="64" spans="4:10" ht="15" customHeight="1" x14ac:dyDescent="0.3">
      <c r="D64" s="93"/>
      <c r="J64" s="95"/>
    </row>
    <row r="65" spans="4:10" ht="15" customHeight="1" x14ac:dyDescent="0.3">
      <c r="D65" s="93"/>
      <c r="J65" s="95"/>
    </row>
    <row r="66" spans="4:10" ht="15" customHeight="1" x14ac:dyDescent="0.3">
      <c r="D66" s="93"/>
      <c r="J66" s="95"/>
    </row>
    <row r="67" spans="4:10" ht="15" customHeight="1" x14ac:dyDescent="0.3">
      <c r="D67" s="93"/>
      <c r="J67" s="95"/>
    </row>
    <row r="68" spans="4:10" ht="15" customHeight="1" x14ac:dyDescent="0.3">
      <c r="D68" s="93"/>
      <c r="J68" s="95"/>
    </row>
    <row r="69" spans="4:10" ht="15" customHeight="1" x14ac:dyDescent="0.3">
      <c r="D69" s="93"/>
      <c r="J69" s="95"/>
    </row>
    <row r="70" spans="4:10" ht="15" customHeight="1" x14ac:dyDescent="0.3">
      <c r="D70" s="93"/>
      <c r="J70" s="95"/>
    </row>
    <row r="71" spans="4:10" ht="15" customHeight="1" x14ac:dyDescent="0.3">
      <c r="D71" s="93"/>
      <c r="J71" s="95"/>
    </row>
    <row r="72" spans="4:10" ht="15" customHeight="1" x14ac:dyDescent="0.3">
      <c r="D72" s="93"/>
      <c r="J72" s="95"/>
    </row>
    <row r="73" spans="4:10" ht="15" customHeight="1" x14ac:dyDescent="0.3">
      <c r="D73" s="93"/>
      <c r="J73" s="95"/>
    </row>
    <row r="74" spans="4:10" ht="15" customHeight="1" x14ac:dyDescent="0.3">
      <c r="D74" s="93"/>
      <c r="J74" s="95"/>
    </row>
    <row r="75" spans="4:10" ht="15" customHeight="1" x14ac:dyDescent="0.3">
      <c r="D75" s="93"/>
      <c r="J75" s="95"/>
    </row>
    <row r="76" spans="4:10" ht="15" customHeight="1" x14ac:dyDescent="0.3">
      <c r="D76" s="93"/>
      <c r="J76" s="95"/>
    </row>
    <row r="77" spans="4:10" ht="15" customHeight="1" x14ac:dyDescent="0.3">
      <c r="D77" s="93"/>
      <c r="J77" s="95"/>
    </row>
    <row r="78" spans="4:10" ht="15" customHeight="1" x14ac:dyDescent="0.3">
      <c r="D78" s="93"/>
      <c r="J78" s="95"/>
    </row>
    <row r="79" spans="4:10" ht="15" customHeight="1" x14ac:dyDescent="0.3">
      <c r="D79" s="93"/>
      <c r="J79" s="95"/>
    </row>
    <row r="80" spans="4:10" ht="15" customHeight="1" x14ac:dyDescent="0.3">
      <c r="D80" s="93"/>
      <c r="J80" s="95"/>
    </row>
    <row r="81" spans="4:10" ht="15" customHeight="1" x14ac:dyDescent="0.3">
      <c r="D81" s="93"/>
      <c r="J81" s="95"/>
    </row>
    <row r="82" spans="4:10" ht="15" customHeight="1" x14ac:dyDescent="0.3">
      <c r="D82" s="93"/>
      <c r="J82" s="95"/>
    </row>
    <row r="83" spans="4:10" ht="15" customHeight="1" x14ac:dyDescent="0.3">
      <c r="D83" s="93"/>
      <c r="J83" s="95"/>
    </row>
    <row r="84" spans="4:10" ht="15" customHeight="1" x14ac:dyDescent="0.3">
      <c r="D84" s="93"/>
      <c r="J84" s="95"/>
    </row>
    <row r="85" spans="4:10" ht="15" customHeight="1" x14ac:dyDescent="0.3">
      <c r="D85" s="93"/>
      <c r="J85" s="95"/>
    </row>
    <row r="86" spans="4:10" ht="15" customHeight="1" x14ac:dyDescent="0.3">
      <c r="D86" s="93"/>
      <c r="J86" s="95"/>
    </row>
    <row r="87" spans="4:10" ht="15" customHeight="1" x14ac:dyDescent="0.3">
      <c r="D87" s="93"/>
      <c r="J87" s="95"/>
    </row>
    <row r="88" spans="4:10" ht="15" customHeight="1" x14ac:dyDescent="0.3">
      <c r="D88" s="93"/>
      <c r="J88" s="95"/>
    </row>
    <row r="89" spans="4:10" ht="15" customHeight="1" x14ac:dyDescent="0.3">
      <c r="D89" s="93"/>
      <c r="J89" s="95"/>
    </row>
    <row r="90" spans="4:10" ht="15" customHeight="1" x14ac:dyDescent="0.3">
      <c r="D90" s="93"/>
      <c r="J90" s="95"/>
    </row>
    <row r="91" spans="4:10" ht="15" customHeight="1" x14ac:dyDescent="0.3">
      <c r="D91" s="93"/>
      <c r="J91" s="95"/>
    </row>
    <row r="92" spans="4:10" ht="15" customHeight="1" x14ac:dyDescent="0.3">
      <c r="D92" s="93"/>
      <c r="J92" s="95"/>
    </row>
    <row r="93" spans="4:10" ht="15" customHeight="1" x14ac:dyDescent="0.3">
      <c r="D93" s="93"/>
      <c r="J93" s="95"/>
    </row>
    <row r="94" spans="4:10" ht="15" customHeight="1" x14ac:dyDescent="0.3">
      <c r="D94" s="93"/>
      <c r="J94" s="95"/>
    </row>
    <row r="95" spans="4:10" ht="15" customHeight="1" x14ac:dyDescent="0.3">
      <c r="D95" s="93"/>
      <c r="J95" s="95"/>
    </row>
    <row r="96" spans="4:10" ht="15" customHeight="1" x14ac:dyDescent="0.3">
      <c r="D96" s="93"/>
      <c r="J96" s="95"/>
    </row>
    <row r="97" spans="4:10" ht="15" customHeight="1" x14ac:dyDescent="0.3">
      <c r="D97" s="93"/>
      <c r="J97" s="95"/>
    </row>
    <row r="98" spans="4:10" ht="15" customHeight="1" x14ac:dyDescent="0.3">
      <c r="D98" s="93"/>
      <c r="J98" s="95"/>
    </row>
    <row r="99" spans="4:10" ht="15" customHeight="1" x14ac:dyDescent="0.3">
      <c r="D99" s="93"/>
      <c r="J99" s="95"/>
    </row>
    <row r="100" spans="4:10" ht="15" customHeight="1" x14ac:dyDescent="0.3">
      <c r="D100" s="93"/>
      <c r="J100" s="95"/>
    </row>
    <row r="101" spans="4:10" ht="15" customHeight="1" x14ac:dyDescent="0.3">
      <c r="D101" s="93"/>
      <c r="J101" s="95"/>
    </row>
    <row r="102" spans="4:10" ht="15" customHeight="1" x14ac:dyDescent="0.3">
      <c r="D102" s="93"/>
      <c r="J102" s="95"/>
    </row>
    <row r="103" spans="4:10" ht="15" customHeight="1" x14ac:dyDescent="0.3">
      <c r="D103" s="93"/>
      <c r="J103" s="95"/>
    </row>
    <row r="104" spans="4:10" ht="15" customHeight="1" x14ac:dyDescent="0.3">
      <c r="D104" s="93"/>
      <c r="J104" s="95"/>
    </row>
    <row r="105" spans="4:10" ht="15" customHeight="1" x14ac:dyDescent="0.3">
      <c r="D105" s="93"/>
      <c r="J105" s="95"/>
    </row>
    <row r="106" spans="4:10" ht="15" customHeight="1" x14ac:dyDescent="0.3">
      <c r="D106" s="93"/>
      <c r="J106" s="95"/>
    </row>
    <row r="107" spans="4:10" ht="15" customHeight="1" x14ac:dyDescent="0.3">
      <c r="D107" s="93"/>
      <c r="J107" s="95"/>
    </row>
    <row r="108" spans="4:10" ht="15" customHeight="1" x14ac:dyDescent="0.3">
      <c r="D108" s="93"/>
      <c r="J108" s="95"/>
    </row>
    <row r="109" spans="4:10" ht="15" customHeight="1" x14ac:dyDescent="0.3">
      <c r="D109" s="93"/>
      <c r="J109" s="95"/>
    </row>
    <row r="110" spans="4:10" ht="15" customHeight="1" x14ac:dyDescent="0.3">
      <c r="D110" s="93"/>
      <c r="J110" s="95"/>
    </row>
    <row r="111" spans="4:10" ht="15" customHeight="1" x14ac:dyDescent="0.3">
      <c r="D111" s="93"/>
      <c r="J111" s="95"/>
    </row>
    <row r="112" spans="4:10" ht="15" customHeight="1" x14ac:dyDescent="0.3">
      <c r="D112" s="93"/>
      <c r="J112" s="95"/>
    </row>
    <row r="113" spans="4:10" ht="15" customHeight="1" x14ac:dyDescent="0.3">
      <c r="D113" s="93"/>
      <c r="J113" s="95"/>
    </row>
    <row r="114" spans="4:10" ht="15" customHeight="1" x14ac:dyDescent="0.3">
      <c r="D114" s="93"/>
      <c r="J114" s="95"/>
    </row>
    <row r="115" spans="4:10" ht="15" customHeight="1" x14ac:dyDescent="0.3">
      <c r="D115" s="93"/>
      <c r="J115" s="95"/>
    </row>
    <row r="116" spans="4:10" ht="15" customHeight="1" x14ac:dyDescent="0.3">
      <c r="D116" s="93"/>
      <c r="J116" s="95"/>
    </row>
    <row r="117" spans="4:10" ht="15" customHeight="1" x14ac:dyDescent="0.3">
      <c r="D117" s="93"/>
      <c r="J117" s="95"/>
    </row>
    <row r="118" spans="4:10" ht="15" customHeight="1" x14ac:dyDescent="0.3">
      <c r="D118" s="93"/>
      <c r="J118" s="95"/>
    </row>
    <row r="119" spans="4:10" ht="15" customHeight="1" x14ac:dyDescent="0.3">
      <c r="D119" s="93"/>
      <c r="J119" s="95"/>
    </row>
    <row r="120" spans="4:10" ht="15" customHeight="1" x14ac:dyDescent="0.3">
      <c r="D120" s="93"/>
      <c r="J120" s="95"/>
    </row>
    <row r="121" spans="4:10" ht="15" customHeight="1" x14ac:dyDescent="0.3">
      <c r="D121" s="93"/>
      <c r="J121" s="95"/>
    </row>
    <row r="122" spans="4:10" ht="15" customHeight="1" x14ac:dyDescent="0.3">
      <c r="D122" s="93"/>
      <c r="J122" s="95"/>
    </row>
    <row r="123" spans="4:10" ht="15" customHeight="1" x14ac:dyDescent="0.3">
      <c r="D123" s="93"/>
      <c r="J123" s="95"/>
    </row>
    <row r="124" spans="4:10" ht="15" customHeight="1" x14ac:dyDescent="0.3">
      <c r="D124" s="93"/>
      <c r="J124" s="95"/>
    </row>
    <row r="125" spans="4:10" ht="15" customHeight="1" x14ac:dyDescent="0.3">
      <c r="D125" s="93"/>
      <c r="J125" s="95"/>
    </row>
    <row r="126" spans="4:10" ht="15" customHeight="1" x14ac:dyDescent="0.3">
      <c r="D126" s="93"/>
      <c r="J126" s="95"/>
    </row>
    <row r="127" spans="4:10" ht="15" customHeight="1" x14ac:dyDescent="0.3">
      <c r="D127" s="93"/>
      <c r="J127" s="95"/>
    </row>
    <row r="128" spans="4:10" ht="15" customHeight="1" x14ac:dyDescent="0.3">
      <c r="D128" s="93"/>
      <c r="J128" s="95"/>
    </row>
    <row r="129" spans="4:10" ht="15" customHeight="1" x14ac:dyDescent="0.3">
      <c r="D129" s="93"/>
      <c r="J129" s="95"/>
    </row>
    <row r="130" spans="4:10" ht="15" customHeight="1" x14ac:dyDescent="0.3">
      <c r="D130" s="93"/>
      <c r="J130" s="95"/>
    </row>
    <row r="131" spans="4:10" ht="15" customHeight="1" x14ac:dyDescent="0.3">
      <c r="D131" s="93"/>
      <c r="J131" s="95"/>
    </row>
    <row r="132" spans="4:10" ht="15" customHeight="1" x14ac:dyDescent="0.3">
      <c r="D132" s="93"/>
      <c r="J132" s="95"/>
    </row>
    <row r="133" spans="4:10" ht="15" customHeight="1" x14ac:dyDescent="0.3">
      <c r="D133" s="93"/>
      <c r="J133" s="95"/>
    </row>
    <row r="134" spans="4:10" ht="15" customHeight="1" x14ac:dyDescent="0.3">
      <c r="D134" s="93"/>
      <c r="J134" s="95"/>
    </row>
    <row r="135" spans="4:10" ht="15" customHeight="1" x14ac:dyDescent="0.3">
      <c r="D135" s="93"/>
      <c r="J135" s="95"/>
    </row>
    <row r="136" spans="4:10" ht="15" customHeight="1" x14ac:dyDescent="0.3">
      <c r="D136" s="93"/>
      <c r="J136" s="95"/>
    </row>
    <row r="137" spans="4:10" ht="15" customHeight="1" x14ac:dyDescent="0.3">
      <c r="D137" s="93"/>
      <c r="J137" s="95"/>
    </row>
    <row r="138" spans="4:10" ht="15" customHeight="1" x14ac:dyDescent="0.3">
      <c r="D138" s="93"/>
      <c r="J138" s="95"/>
    </row>
    <row r="139" spans="4:10" ht="15" customHeight="1" x14ac:dyDescent="0.3">
      <c r="D139" s="93"/>
      <c r="J139" s="95"/>
    </row>
    <row r="140" spans="4:10" ht="15" customHeight="1" x14ac:dyDescent="0.3">
      <c r="D140" s="93"/>
      <c r="J140" s="95"/>
    </row>
    <row r="141" spans="4:10" ht="15" customHeight="1" x14ac:dyDescent="0.3">
      <c r="D141" s="93"/>
      <c r="J141" s="95"/>
    </row>
    <row r="142" spans="4:10" ht="15" customHeight="1" x14ac:dyDescent="0.3">
      <c r="D142" s="93"/>
      <c r="J142" s="95"/>
    </row>
    <row r="143" spans="4:10" ht="15" customHeight="1" x14ac:dyDescent="0.3">
      <c r="D143" s="93"/>
      <c r="J143" s="95"/>
    </row>
    <row r="144" spans="4:10" ht="15" customHeight="1" x14ac:dyDescent="0.3">
      <c r="D144" s="93"/>
      <c r="J144" s="95"/>
    </row>
    <row r="145" spans="4:10" ht="15" customHeight="1" x14ac:dyDescent="0.3">
      <c r="D145" s="93"/>
      <c r="J145" s="95"/>
    </row>
    <row r="146" spans="4:10" ht="15" customHeight="1" x14ac:dyDescent="0.3">
      <c r="D146" s="93"/>
      <c r="J146" s="95"/>
    </row>
    <row r="147" spans="4:10" ht="15" customHeight="1" x14ac:dyDescent="0.3">
      <c r="D147" s="93"/>
      <c r="J147" s="95"/>
    </row>
    <row r="148" spans="4:10" ht="15" customHeight="1" x14ac:dyDescent="0.3">
      <c r="D148" s="93"/>
      <c r="J148" s="95"/>
    </row>
    <row r="149" spans="4:10" ht="15" customHeight="1" x14ac:dyDescent="0.3">
      <c r="D149" s="93"/>
      <c r="J149" s="95"/>
    </row>
    <row r="150" spans="4:10" ht="15" customHeight="1" x14ac:dyDescent="0.3">
      <c r="D150" s="93"/>
      <c r="J150" s="95"/>
    </row>
    <row r="151" spans="4:10" ht="15" customHeight="1" x14ac:dyDescent="0.3">
      <c r="D151" s="93"/>
      <c r="J151" s="95"/>
    </row>
    <row r="152" spans="4:10" ht="15" customHeight="1" x14ac:dyDescent="0.3">
      <c r="D152" s="93"/>
      <c r="J152" s="95"/>
    </row>
    <row r="153" spans="4:10" ht="15" customHeight="1" x14ac:dyDescent="0.3">
      <c r="D153" s="93"/>
      <c r="J153" s="95"/>
    </row>
    <row r="154" spans="4:10" ht="15" customHeight="1" x14ac:dyDescent="0.3">
      <c r="D154" s="93"/>
      <c r="J154" s="95"/>
    </row>
    <row r="155" spans="4:10" ht="15" customHeight="1" x14ac:dyDescent="0.3">
      <c r="D155" s="93"/>
      <c r="J155" s="95"/>
    </row>
    <row r="156" spans="4:10" ht="15" customHeight="1" x14ac:dyDescent="0.3">
      <c r="D156" s="93"/>
      <c r="J156" s="95"/>
    </row>
    <row r="157" spans="4:10" ht="15" customHeight="1" x14ac:dyDescent="0.3">
      <c r="D157" s="93"/>
      <c r="J157" s="95"/>
    </row>
    <row r="158" spans="4:10" ht="15" customHeight="1" x14ac:dyDescent="0.3">
      <c r="D158" s="93"/>
      <c r="J158" s="95"/>
    </row>
    <row r="159" spans="4:10" ht="15" customHeight="1" x14ac:dyDescent="0.3">
      <c r="D159" s="93"/>
      <c r="J159" s="95"/>
    </row>
    <row r="160" spans="4:10" ht="15" customHeight="1" x14ac:dyDescent="0.3">
      <c r="D160" s="93"/>
      <c r="J160" s="95"/>
    </row>
    <row r="161" spans="4:10" ht="15" customHeight="1" x14ac:dyDescent="0.3">
      <c r="D161" s="93"/>
      <c r="J161" s="95"/>
    </row>
    <row r="162" spans="4:10" ht="15" customHeight="1" x14ac:dyDescent="0.3">
      <c r="D162" s="93"/>
      <c r="J162" s="95"/>
    </row>
    <row r="163" spans="4:10" ht="15" customHeight="1" x14ac:dyDescent="0.3">
      <c r="D163" s="93"/>
      <c r="J163" s="95"/>
    </row>
    <row r="164" spans="4:10" ht="15" customHeight="1" x14ac:dyDescent="0.3">
      <c r="D164" s="93"/>
      <c r="J164" s="95"/>
    </row>
    <row r="165" spans="4:10" ht="15" customHeight="1" x14ac:dyDescent="0.3">
      <c r="D165" s="93"/>
      <c r="J165" s="95"/>
    </row>
    <row r="166" spans="4:10" ht="15" customHeight="1" x14ac:dyDescent="0.3">
      <c r="D166" s="93"/>
      <c r="J166" s="95"/>
    </row>
    <row r="167" spans="4:10" ht="15" customHeight="1" x14ac:dyDescent="0.3">
      <c r="D167" s="93"/>
      <c r="J167" s="95"/>
    </row>
    <row r="168" spans="4:10" ht="15" customHeight="1" x14ac:dyDescent="0.3">
      <c r="D168" s="93"/>
      <c r="J168" s="95"/>
    </row>
    <row r="169" spans="4:10" ht="15" customHeight="1" x14ac:dyDescent="0.3">
      <c r="D169" s="93"/>
      <c r="J169" s="95"/>
    </row>
    <row r="170" spans="4:10" ht="15" customHeight="1" x14ac:dyDescent="0.3">
      <c r="D170" s="93"/>
      <c r="J170" s="95"/>
    </row>
    <row r="171" spans="4:10" ht="15" customHeight="1" x14ac:dyDescent="0.3">
      <c r="D171" s="93"/>
      <c r="J171" s="95"/>
    </row>
    <row r="172" spans="4:10" ht="15" customHeight="1" x14ac:dyDescent="0.3">
      <c r="D172" s="93"/>
      <c r="J172" s="95"/>
    </row>
    <row r="173" spans="4:10" ht="15" customHeight="1" x14ac:dyDescent="0.3">
      <c r="D173" s="93"/>
      <c r="J173" s="95"/>
    </row>
    <row r="174" spans="4:10" ht="15" customHeight="1" x14ac:dyDescent="0.3">
      <c r="D174" s="93"/>
      <c r="J174" s="95"/>
    </row>
    <row r="175" spans="4:10" ht="15" customHeight="1" x14ac:dyDescent="0.3">
      <c r="D175" s="93"/>
      <c r="J175" s="95"/>
    </row>
    <row r="176" spans="4:10" ht="15" customHeight="1" x14ac:dyDescent="0.3">
      <c r="D176" s="93"/>
      <c r="J176" s="95"/>
    </row>
    <row r="177" spans="4:10" ht="15" customHeight="1" x14ac:dyDescent="0.3">
      <c r="D177" s="93"/>
      <c r="J177" s="95"/>
    </row>
    <row r="178" spans="4:10" ht="15" customHeight="1" x14ac:dyDescent="0.3">
      <c r="D178" s="93"/>
      <c r="J178" s="95"/>
    </row>
    <row r="179" spans="4:10" ht="15" customHeight="1" x14ac:dyDescent="0.3">
      <c r="D179" s="93"/>
      <c r="J179" s="95"/>
    </row>
    <row r="180" spans="4:10" ht="15" customHeight="1" x14ac:dyDescent="0.3">
      <c r="D180" s="93"/>
      <c r="J180" s="95"/>
    </row>
    <row r="181" spans="4:10" ht="15" customHeight="1" x14ac:dyDescent="0.3">
      <c r="D181" s="93"/>
      <c r="J181" s="95"/>
    </row>
    <row r="182" spans="4:10" ht="15" customHeight="1" x14ac:dyDescent="0.3">
      <c r="D182" s="93"/>
      <c r="J182" s="95"/>
    </row>
    <row r="183" spans="4:10" ht="15" customHeight="1" x14ac:dyDescent="0.3">
      <c r="D183" s="93"/>
      <c r="J183" s="95"/>
    </row>
    <row r="184" spans="4:10" ht="15" customHeight="1" x14ac:dyDescent="0.3">
      <c r="D184" s="93"/>
      <c r="J184" s="95"/>
    </row>
    <row r="185" spans="4:10" ht="15" customHeight="1" x14ac:dyDescent="0.3">
      <c r="D185" s="93"/>
      <c r="J185" s="95"/>
    </row>
    <row r="186" spans="4:10" ht="15" customHeight="1" x14ac:dyDescent="0.3">
      <c r="D186" s="93"/>
      <c r="J186" s="95"/>
    </row>
    <row r="187" spans="4:10" ht="15" customHeight="1" x14ac:dyDescent="0.3">
      <c r="D187" s="93"/>
    </row>
    <row r="188" spans="4:10" ht="15" customHeight="1" x14ac:dyDescent="0.3">
      <c r="D188" s="93"/>
    </row>
    <row r="189" spans="4:10" ht="15" customHeight="1" x14ac:dyDescent="0.3">
      <c r="D189" s="93"/>
    </row>
    <row r="190" spans="4:10" ht="15" customHeight="1" x14ac:dyDescent="0.3">
      <c r="D190" s="93"/>
    </row>
    <row r="191" spans="4:10" ht="15" customHeight="1" x14ac:dyDescent="0.3">
      <c r="D191" s="93"/>
    </row>
    <row r="192" spans="4:10" ht="15" customHeight="1" x14ac:dyDescent="0.3">
      <c r="D192" s="93"/>
    </row>
    <row r="193" spans="4:4" ht="15" customHeight="1" x14ac:dyDescent="0.3">
      <c r="D193" s="93"/>
    </row>
    <row r="194" spans="4:4" ht="15" customHeight="1" x14ac:dyDescent="0.3">
      <c r="D194" s="93"/>
    </row>
  </sheetData>
  <mergeCells count="1">
    <mergeCell ref="B1:K1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93BB3-60A7-4A60-8FA9-4928CFC6B461}">
  <dimension ref="A1:K17"/>
  <sheetViews>
    <sheetView workbookViewId="0">
      <selection activeCell="P13" sqref="P13"/>
    </sheetView>
  </sheetViews>
  <sheetFormatPr defaultRowHeight="18" customHeight="1" x14ac:dyDescent="0.3"/>
  <cols>
    <col min="1" max="1" width="6.44140625" customWidth="1"/>
    <col min="2" max="2" width="23.109375" bestFit="1" customWidth="1"/>
    <col min="3" max="3" width="7.109375" customWidth="1"/>
    <col min="4" max="4" width="10.44140625" customWidth="1"/>
    <col min="5" max="5" width="9.21875" customWidth="1"/>
    <col min="7" max="7" width="10.5546875" customWidth="1"/>
    <col min="8" max="8" width="10.88671875" customWidth="1"/>
    <col min="11" max="11" width="13.88671875" customWidth="1"/>
  </cols>
  <sheetData>
    <row r="1" spans="1:11" ht="18" customHeight="1" x14ac:dyDescent="0.3">
      <c r="A1" s="207" t="s">
        <v>440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spans="1:11" ht="18" customHeight="1" x14ac:dyDescent="0.3">
      <c r="A2" s="185" t="s">
        <v>0</v>
      </c>
      <c r="B2" s="137" t="s">
        <v>415</v>
      </c>
      <c r="C2" s="137" t="s">
        <v>416</v>
      </c>
      <c r="D2" s="186" t="s">
        <v>419</v>
      </c>
      <c r="E2" s="187" t="s">
        <v>420</v>
      </c>
      <c r="F2" s="137" t="s">
        <v>421</v>
      </c>
      <c r="G2" s="137" t="s">
        <v>422</v>
      </c>
      <c r="H2" s="188" t="s">
        <v>423</v>
      </c>
      <c r="I2" s="137" t="s">
        <v>424</v>
      </c>
      <c r="J2" s="137" t="s">
        <v>183</v>
      </c>
      <c r="K2" s="189" t="s">
        <v>425</v>
      </c>
    </row>
    <row r="3" spans="1:11" ht="18" customHeight="1" x14ac:dyDescent="0.3">
      <c r="A3" s="50">
        <v>1</v>
      </c>
      <c r="B3" s="178" t="s">
        <v>417</v>
      </c>
      <c r="C3" s="179" t="s">
        <v>418</v>
      </c>
      <c r="D3" s="180" t="s">
        <v>426</v>
      </c>
      <c r="E3" s="181">
        <v>5.6190476190476193E-2</v>
      </c>
      <c r="F3" s="182">
        <v>63</v>
      </c>
      <c r="G3" s="182">
        <v>3.54</v>
      </c>
      <c r="H3" s="183" t="s">
        <v>427</v>
      </c>
      <c r="I3" s="182" t="s">
        <v>428</v>
      </c>
      <c r="J3" s="184">
        <v>38</v>
      </c>
      <c r="K3" s="154">
        <f>J3*G3</f>
        <v>134.52000000000001</v>
      </c>
    </row>
    <row r="4" spans="1:11" ht="18" customHeight="1" x14ac:dyDescent="0.3">
      <c r="A4" s="33">
        <v>2</v>
      </c>
      <c r="B4" s="157" t="s">
        <v>417</v>
      </c>
      <c r="C4" s="158" t="s">
        <v>418</v>
      </c>
      <c r="D4" s="159" t="s">
        <v>429</v>
      </c>
      <c r="E4" s="160">
        <v>7.2131147540983612E-2</v>
      </c>
      <c r="F4" s="45">
        <v>61</v>
      </c>
      <c r="G4" s="162">
        <v>4.4000000000000004</v>
      </c>
      <c r="H4" s="161" t="s">
        <v>427</v>
      </c>
      <c r="I4" s="45" t="s">
        <v>430</v>
      </c>
      <c r="J4" s="150">
        <v>33</v>
      </c>
      <c r="K4" s="152">
        <f>J4*G4</f>
        <v>145.20000000000002</v>
      </c>
    </row>
    <row r="5" spans="1:11" ht="18" customHeight="1" x14ac:dyDescent="0.3">
      <c r="A5" s="33"/>
      <c r="B5" s="157"/>
      <c r="C5" s="158"/>
      <c r="D5" s="159"/>
      <c r="E5" s="160"/>
      <c r="F5" s="45"/>
      <c r="G5" s="162"/>
      <c r="H5" s="161"/>
      <c r="I5" s="45"/>
      <c r="J5" s="150"/>
      <c r="K5" s="152"/>
    </row>
    <row r="6" spans="1:11" ht="18" customHeight="1" x14ac:dyDescent="0.3">
      <c r="A6" s="33">
        <v>3</v>
      </c>
      <c r="B6" s="157" t="s">
        <v>417</v>
      </c>
      <c r="C6" s="158" t="s">
        <v>418</v>
      </c>
      <c r="D6" s="159" t="s">
        <v>431</v>
      </c>
      <c r="E6" s="160">
        <v>9.818181818181819E-2</v>
      </c>
      <c r="F6" s="45">
        <v>55</v>
      </c>
      <c r="G6" s="162">
        <v>5.4</v>
      </c>
      <c r="H6" s="161" t="s">
        <v>427</v>
      </c>
      <c r="I6" s="45" t="s">
        <v>428</v>
      </c>
      <c r="J6" s="150">
        <v>38</v>
      </c>
      <c r="K6" s="152">
        <f>J6*G6</f>
        <v>205.20000000000002</v>
      </c>
    </row>
    <row r="7" spans="1:11" ht="18" customHeight="1" x14ac:dyDescent="0.3">
      <c r="A7" s="33">
        <v>4</v>
      </c>
      <c r="B7" s="157" t="s">
        <v>417</v>
      </c>
      <c r="C7" s="158" t="s">
        <v>418</v>
      </c>
      <c r="D7" s="159" t="s">
        <v>384</v>
      </c>
      <c r="E7" s="160">
        <v>0.11</v>
      </c>
      <c r="F7" s="45">
        <v>53</v>
      </c>
      <c r="G7" s="45">
        <v>5.83</v>
      </c>
      <c r="H7" s="161" t="s">
        <v>427</v>
      </c>
      <c r="I7" s="45" t="s">
        <v>434</v>
      </c>
      <c r="J7" s="150">
        <v>41</v>
      </c>
      <c r="K7" s="152">
        <f>J7*G7</f>
        <v>239.03</v>
      </c>
    </row>
    <row r="8" spans="1:11" ht="18" customHeight="1" x14ac:dyDescent="0.3">
      <c r="A8" s="33">
        <v>5</v>
      </c>
      <c r="B8" s="157" t="s">
        <v>417</v>
      </c>
      <c r="C8" s="158" t="s">
        <v>418</v>
      </c>
      <c r="D8" s="159" t="s">
        <v>171</v>
      </c>
      <c r="E8" s="160">
        <v>0.12269230769230768</v>
      </c>
      <c r="F8" s="45">
        <v>52</v>
      </c>
      <c r="G8" s="45">
        <v>6.38</v>
      </c>
      <c r="H8" s="161" t="s">
        <v>427</v>
      </c>
      <c r="I8" s="45" t="s">
        <v>428</v>
      </c>
      <c r="J8" s="150">
        <v>38</v>
      </c>
      <c r="K8" s="152">
        <f>J8*G8</f>
        <v>242.44</v>
      </c>
    </row>
    <row r="9" spans="1:11" ht="18" customHeight="1" x14ac:dyDescent="0.3">
      <c r="A9" s="163">
        <v>6</v>
      </c>
      <c r="B9" s="157" t="s">
        <v>417</v>
      </c>
      <c r="C9" s="158" t="s">
        <v>418</v>
      </c>
      <c r="D9" s="164" t="s">
        <v>435</v>
      </c>
      <c r="E9" s="160">
        <v>0.13375000000000001</v>
      </c>
      <c r="F9" s="165">
        <v>48</v>
      </c>
      <c r="G9" s="166">
        <v>6.42</v>
      </c>
      <c r="H9" s="161" t="s">
        <v>427</v>
      </c>
      <c r="I9" s="167" t="s">
        <v>428</v>
      </c>
      <c r="J9" s="150">
        <v>38</v>
      </c>
      <c r="K9" s="152">
        <f>J9*G9</f>
        <v>243.96</v>
      </c>
    </row>
    <row r="10" spans="1:11" ht="18" customHeight="1" x14ac:dyDescent="0.3">
      <c r="A10" s="163"/>
      <c r="B10" s="157"/>
      <c r="C10" s="158"/>
      <c r="D10" s="164"/>
      <c r="E10" s="160"/>
      <c r="F10" s="165"/>
      <c r="G10" s="166"/>
      <c r="H10" s="168"/>
      <c r="I10" s="167"/>
      <c r="J10" s="151"/>
      <c r="K10" s="153"/>
    </row>
    <row r="11" spans="1:11" ht="18" customHeight="1" x14ac:dyDescent="0.3">
      <c r="A11" s="163">
        <v>7</v>
      </c>
      <c r="B11" s="157" t="s">
        <v>417</v>
      </c>
      <c r="C11" s="158" t="s">
        <v>418</v>
      </c>
      <c r="D11" s="164" t="s">
        <v>163</v>
      </c>
      <c r="E11" s="160">
        <v>0.15632653061224491</v>
      </c>
      <c r="F11" s="165">
        <v>49</v>
      </c>
      <c r="G11" s="166">
        <v>7.66</v>
      </c>
      <c r="H11" s="161" t="s">
        <v>427</v>
      </c>
      <c r="I11" s="167" t="s">
        <v>436</v>
      </c>
      <c r="J11" s="151">
        <v>43</v>
      </c>
      <c r="K11" s="152">
        <f>J11*G11</f>
        <v>329.38</v>
      </c>
    </row>
    <row r="12" spans="1:11" ht="18" customHeight="1" x14ac:dyDescent="0.3">
      <c r="A12" s="163">
        <v>8</v>
      </c>
      <c r="B12" s="157" t="s">
        <v>417</v>
      </c>
      <c r="C12" s="158" t="s">
        <v>418</v>
      </c>
      <c r="D12" s="164" t="s">
        <v>163</v>
      </c>
      <c r="E12" s="160">
        <v>0.16595744680851063</v>
      </c>
      <c r="F12" s="167">
        <v>47</v>
      </c>
      <c r="G12" s="162">
        <v>7.8</v>
      </c>
      <c r="H12" s="161" t="s">
        <v>427</v>
      </c>
      <c r="I12" s="167" t="s">
        <v>436</v>
      </c>
      <c r="J12" s="151">
        <v>43</v>
      </c>
      <c r="K12" s="152">
        <f>J12*G12</f>
        <v>335.4</v>
      </c>
    </row>
    <row r="13" spans="1:11" ht="18" customHeight="1" x14ac:dyDescent="0.3">
      <c r="A13" s="163">
        <v>9</v>
      </c>
      <c r="B13" s="157" t="s">
        <v>432</v>
      </c>
      <c r="C13" s="158" t="s">
        <v>418</v>
      </c>
      <c r="D13" s="164" t="s">
        <v>163</v>
      </c>
      <c r="E13" s="160">
        <v>0.17020408163265305</v>
      </c>
      <c r="F13" s="167">
        <v>49</v>
      </c>
      <c r="G13" s="162">
        <v>8.34</v>
      </c>
      <c r="H13" s="161" t="s">
        <v>427</v>
      </c>
      <c r="I13" s="167" t="s">
        <v>437</v>
      </c>
      <c r="J13" s="151">
        <v>46</v>
      </c>
      <c r="K13" s="152">
        <f>J13*G13</f>
        <v>383.64</v>
      </c>
    </row>
    <row r="14" spans="1:11" ht="18" customHeight="1" x14ac:dyDescent="0.3">
      <c r="A14" s="163">
        <v>10</v>
      </c>
      <c r="B14" s="157" t="s">
        <v>432</v>
      </c>
      <c r="C14" s="158" t="s">
        <v>418</v>
      </c>
      <c r="D14" s="164" t="s">
        <v>40</v>
      </c>
      <c r="E14" s="160">
        <v>0.1816326530612245</v>
      </c>
      <c r="F14" s="167">
        <v>49</v>
      </c>
      <c r="G14" s="162">
        <v>8.9</v>
      </c>
      <c r="H14" s="161" t="s">
        <v>427</v>
      </c>
      <c r="I14" s="167" t="s">
        <v>437</v>
      </c>
      <c r="J14" s="151">
        <v>46</v>
      </c>
      <c r="K14" s="152">
        <f>J14*G14</f>
        <v>409.40000000000003</v>
      </c>
    </row>
    <row r="15" spans="1:11" ht="18" customHeight="1" x14ac:dyDescent="0.3">
      <c r="A15" s="163"/>
      <c r="B15" s="157"/>
      <c r="C15" s="169"/>
      <c r="D15" s="164"/>
      <c r="E15" s="160"/>
      <c r="F15" s="167"/>
      <c r="G15" s="45"/>
      <c r="H15" s="168"/>
      <c r="I15" s="167"/>
      <c r="J15" s="151"/>
      <c r="K15" s="153"/>
    </row>
    <row r="16" spans="1:11" ht="18" customHeight="1" x14ac:dyDescent="0.3">
      <c r="A16" s="170">
        <v>11</v>
      </c>
      <c r="B16" s="171" t="s">
        <v>433</v>
      </c>
      <c r="C16" s="172" t="s">
        <v>418</v>
      </c>
      <c r="D16" s="173" t="s">
        <v>438</v>
      </c>
      <c r="E16" s="174">
        <v>5.0117647058823524E-2</v>
      </c>
      <c r="F16" s="175">
        <v>170</v>
      </c>
      <c r="G16" s="176">
        <v>8.52</v>
      </c>
      <c r="H16" s="177" t="s">
        <v>427</v>
      </c>
      <c r="I16" s="175" t="s">
        <v>439</v>
      </c>
      <c r="J16" s="155">
        <v>40</v>
      </c>
      <c r="K16" s="156">
        <f>J16*G16</f>
        <v>340.79999999999995</v>
      </c>
    </row>
    <row r="17" spans="1:11" ht="18" customHeight="1" x14ac:dyDescent="0.3">
      <c r="A17" s="190" t="s">
        <v>306</v>
      </c>
      <c r="B17" s="191"/>
      <c r="C17" s="192"/>
      <c r="D17" s="193"/>
      <c r="E17" s="193"/>
      <c r="F17" s="193">
        <f>SUBTOTAL(109,Table7[No.Pcs])</f>
        <v>696</v>
      </c>
      <c r="G17" s="194">
        <f>SUBTOTAL(109,Table7[Diam Cts])</f>
        <v>73.19</v>
      </c>
      <c r="H17" s="195"/>
      <c r="I17" s="193"/>
      <c r="J17" s="196"/>
      <c r="K17" s="189">
        <f>SUBTOTAL(109,Table7[Diam Total])</f>
        <v>3008.9700000000003</v>
      </c>
    </row>
  </sheetData>
  <mergeCells count="1">
    <mergeCell ref="A1:K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1.Jewellery Stk</vt:lpstr>
      <vt:lpstr>2.Certified</vt:lpstr>
      <vt:lpstr>3.Loose</vt:lpstr>
      <vt:lpstr>4.Manufacturing</vt:lpstr>
      <vt:lpstr>5.LGD Jewellery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Star-Viraj Shah</dc:creator>
  <cp:lastModifiedBy>Antonia Star-Viraj Shah</cp:lastModifiedBy>
  <cp:lastPrinted>2026-04-03T14:04:51Z</cp:lastPrinted>
  <dcterms:created xsi:type="dcterms:W3CDTF">2026-03-30T13:17:41Z</dcterms:created>
  <dcterms:modified xsi:type="dcterms:W3CDTF">2026-04-06T08:11:57Z</dcterms:modified>
</cp:coreProperties>
</file>